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Приложение № 1 (1360-1)" sheetId="1" r:id="rId1"/>
  </sheets>
  <definedNames>
    <definedName name="_xlnm.Print_Titles" localSheetId="0">'Приложение № 1 (1360-1)'!$7:$7</definedName>
    <definedName name="_xlnm.Print_Area" localSheetId="0">'Приложение № 1 (1360-1)'!$A$1:$K$83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9" i="1"/>
  <c r="C60" i="1"/>
  <c r="C82" i="1" l="1"/>
  <c r="E82" i="1" l="1"/>
  <c r="D82" i="1"/>
  <c r="C74" i="1"/>
  <c r="C80" i="1"/>
  <c r="C78" i="1"/>
  <c r="C76" i="1"/>
  <c r="C68" i="1"/>
  <c r="K68" i="1" s="1"/>
  <c r="D62" i="1"/>
  <c r="E62" i="1"/>
  <c r="G62" i="1"/>
  <c r="H62" i="1"/>
  <c r="I62" i="1"/>
  <c r="J62" i="1"/>
  <c r="K60" i="1"/>
  <c r="J57" i="1"/>
  <c r="I57" i="1"/>
  <c r="H57" i="1"/>
  <c r="G57" i="1"/>
  <c r="F57" i="1"/>
  <c r="E57" i="1"/>
  <c r="D57" i="1"/>
  <c r="K59" i="1"/>
  <c r="C50" i="1"/>
  <c r="C51" i="1"/>
  <c r="F44" i="1"/>
  <c r="E44" i="1"/>
  <c r="C44" i="1"/>
  <c r="F42" i="1"/>
  <c r="E42" i="1"/>
  <c r="C42" i="1"/>
  <c r="C36" i="1"/>
  <c r="C14" i="1"/>
  <c r="C57" i="1" l="1"/>
  <c r="K58" i="1"/>
  <c r="C72" i="1"/>
  <c r="F12" i="1" l="1"/>
  <c r="F11" i="1"/>
  <c r="F64" i="1" l="1"/>
  <c r="F63" i="1"/>
  <c r="F62" i="1" s="1"/>
  <c r="C63" i="1"/>
  <c r="C55" i="1"/>
  <c r="E30" i="1"/>
  <c r="C30" i="1"/>
  <c r="E26" i="1"/>
  <c r="C26" i="1"/>
  <c r="E18" i="1"/>
  <c r="J18" i="1"/>
  <c r="I18" i="1"/>
  <c r="H18" i="1"/>
  <c r="G18" i="1"/>
  <c r="F18" i="1"/>
  <c r="D18" i="1"/>
  <c r="C18" i="1"/>
  <c r="J17" i="1"/>
  <c r="I17" i="1"/>
  <c r="H17" i="1"/>
  <c r="G17" i="1"/>
  <c r="F17" i="1"/>
  <c r="E17" i="1"/>
  <c r="D17" i="1"/>
  <c r="C17" i="1"/>
  <c r="F16" i="1"/>
  <c r="D16" i="1"/>
  <c r="C16" i="1"/>
  <c r="F15" i="1"/>
  <c r="D15" i="1"/>
  <c r="C15" i="1"/>
  <c r="F14" i="1"/>
  <c r="D14" i="1"/>
  <c r="K57" i="1" l="1"/>
  <c r="C62" i="1"/>
  <c r="J39" i="1"/>
  <c r="I39" i="1"/>
  <c r="H39" i="1"/>
  <c r="G39" i="1"/>
  <c r="F39" i="1"/>
  <c r="E39" i="1"/>
  <c r="D39" i="1"/>
  <c r="C39" i="1"/>
  <c r="D41" i="1" l="1"/>
  <c r="E41" i="1"/>
  <c r="F41" i="1"/>
  <c r="G41" i="1"/>
  <c r="H41" i="1"/>
  <c r="I41" i="1"/>
  <c r="J41" i="1"/>
  <c r="C41" i="1"/>
  <c r="D9" i="1" l="1"/>
  <c r="E9" i="1"/>
  <c r="F9" i="1"/>
  <c r="G9" i="1"/>
  <c r="H9" i="1"/>
  <c r="I9" i="1"/>
  <c r="J9" i="1"/>
  <c r="C9" i="1"/>
  <c r="K18" i="1"/>
  <c r="K17" i="1" l="1"/>
  <c r="D35" i="1" l="1"/>
  <c r="E35" i="1"/>
  <c r="F35" i="1"/>
  <c r="G35" i="1"/>
  <c r="H35" i="1"/>
  <c r="I35" i="1"/>
  <c r="J35" i="1"/>
  <c r="C35" i="1"/>
  <c r="D20" i="1" l="1"/>
  <c r="E20" i="1"/>
  <c r="F20" i="1"/>
  <c r="G20" i="1"/>
  <c r="H20" i="1"/>
  <c r="I20" i="1"/>
  <c r="J20" i="1"/>
  <c r="C20" i="1"/>
  <c r="D27" i="1"/>
  <c r="E27" i="1"/>
  <c r="F27" i="1"/>
  <c r="G27" i="1"/>
  <c r="H27" i="1"/>
  <c r="I27" i="1"/>
  <c r="J27" i="1"/>
  <c r="C27" i="1"/>
  <c r="D38" i="1"/>
  <c r="E38" i="1"/>
  <c r="F38" i="1"/>
  <c r="G38" i="1"/>
  <c r="H38" i="1"/>
  <c r="I38" i="1"/>
  <c r="J38" i="1"/>
  <c r="C38" i="1"/>
  <c r="K82" i="1"/>
  <c r="K80" i="1"/>
  <c r="K78" i="1"/>
  <c r="K76" i="1"/>
  <c r="K74" i="1"/>
  <c r="K72" i="1"/>
  <c r="K70" i="1"/>
  <c r="K66" i="1"/>
  <c r="K64" i="1"/>
  <c r="K63" i="1"/>
  <c r="K55" i="1"/>
  <c r="K53" i="1"/>
  <c r="K51" i="1"/>
  <c r="K50" i="1"/>
  <c r="K48" i="1"/>
  <c r="K47" i="1"/>
  <c r="K46" i="1"/>
  <c r="K45" i="1"/>
  <c r="K44" i="1"/>
  <c r="K43" i="1"/>
  <c r="K42" i="1"/>
  <c r="K41" i="1"/>
  <c r="K39" i="1"/>
  <c r="K36" i="1"/>
  <c r="K33" i="1"/>
  <c r="K32" i="1"/>
  <c r="K31" i="1"/>
  <c r="K30" i="1"/>
  <c r="K29" i="1"/>
  <c r="K28" i="1"/>
  <c r="K26" i="1"/>
  <c r="K24" i="1"/>
  <c r="K23" i="1"/>
  <c r="K22" i="1"/>
  <c r="K21" i="1"/>
  <c r="K16" i="1"/>
  <c r="K15" i="1"/>
  <c r="K14" i="1"/>
  <c r="K13" i="1"/>
  <c r="K12" i="1"/>
  <c r="K11" i="1"/>
  <c r="J8" i="1" l="1"/>
  <c r="J83" i="1" s="1"/>
  <c r="I8" i="1"/>
  <c r="I83" i="1" s="1"/>
  <c r="E8" i="1"/>
  <c r="E83" i="1" s="1"/>
  <c r="C8" i="1"/>
  <c r="C83" i="1" s="1"/>
  <c r="G8" i="1"/>
  <c r="G83" i="1" s="1"/>
  <c r="F8" i="1"/>
  <c r="F83" i="1" s="1"/>
  <c r="H8" i="1"/>
  <c r="H83" i="1" s="1"/>
  <c r="D8" i="1"/>
  <c r="D83" i="1" s="1"/>
  <c r="K20" i="1"/>
  <c r="K27" i="1"/>
  <c r="K9" i="1"/>
  <c r="K62" i="1"/>
  <c r="K35" i="1"/>
  <c r="K38" i="1"/>
  <c r="K8" i="1" l="1"/>
  <c r="K83" i="1" l="1"/>
</calcChain>
</file>

<file path=xl/sharedStrings.xml><?xml version="1.0" encoding="utf-8"?>
<sst xmlns="http://schemas.openxmlformats.org/spreadsheetml/2006/main" count="73" uniqueCount="73">
  <si>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</si>
  <si>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</si>
  <si>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</si>
  <si>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</si>
  <si>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</si>
  <si>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</si>
  <si>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</si>
  <si>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</si>
  <si>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</si>
  <si>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</si>
  <si>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</si>
  <si>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</si>
  <si>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</si>
  <si>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</si>
  <si>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</si>
  <si>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</si>
  <si>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</si>
  <si>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</si>
  <si>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</si>
  <si>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</si>
  <si>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</si>
  <si>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</si>
  <si>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</si>
  <si>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</si>
  <si>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</si>
  <si>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</si>
  <si>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</si>
  <si>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</si>
  <si>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</si>
  <si>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</si>
  <si>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</si>
  <si>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</si>
  <si>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</si>
  <si>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</si>
  <si>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</si>
  <si>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</si>
  <si>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</si>
  <si>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</si>
  <si>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</si>
  <si>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</si>
  <si>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</si>
  <si>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</si>
  <si>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</si>
  <si>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</si>
  <si>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</si>
  <si>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</si>
  <si>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</si>
  <si>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</si>
  <si>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</si>
  <si>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</si>
  <si>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</si>
  <si>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</si>
  <si>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</si>
  <si>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</si>
  <si>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</si>
  <si>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</si>
  <si>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</si>
  <si>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</si>
  <si>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</si>
  <si>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</si>
  <si>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</si>
  <si>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</si>
  <si>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</si>
  <si>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</si>
  <si>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</si>
  <si>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Отчисления средств от налога на доходы на цели пенсионного страхования (обеспечения)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</si>
  <si>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</si>
  <si>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</si>
  <si>
    <t>Безвозмездные перечисления</t>
  </si>
  <si>
    <t>От нерезидентов на цели субсидирования хозяйствующих субъектов</t>
  </si>
  <si>
    <t>Прочие безвозмездные перечисления</t>
  </si>
  <si>
    <t>Фонд государственного резерва</t>
  </si>
  <si>
    <t>От нерезидентов (гуманитарная помощь)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</si>
</sst>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8">
    <xf numFmtId="0" fontId="0" fillId="0" borderId="0" xfId="0"/>
    <xf numFmtId="3" fontId="4" fillId="2" borderId="0" xfId="0" applyNumberFormat="1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left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right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1" fontId="3" fillId="2" borderId="1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1" fontId="3" fillId="2" borderId="4" xfId="0" applyNumberFormat="1" applyFont="1" applyFill="1" applyBorder="1" applyAlignment="1">
      <alignment vertical="center" wrapText="1"/>
    </xf>
    <xf numFmtId="1" fontId="4" fillId="2" borderId="7" xfId="0" applyNumberFormat="1" applyFont="1" applyFill="1" applyBorder="1" applyAlignment="1">
      <alignment vertical="center" wrapText="1"/>
    </xf>
    <xf numFmtId="3" fontId="3" fillId="2" borderId="8" xfId="0" applyNumberFormat="1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1" fontId="3" fillId="4" borderId="7" xfId="0" applyNumberFormat="1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 wrapText="1"/>
    </xf>
    <xf numFmtId="1" fontId="3" fillId="4" borderId="7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left" vertical="center" wrapText="1"/>
    </xf>
    <xf numFmtId="3" fontId="3" fillId="4" borderId="8" xfId="0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>
      <alignment horizontal="center" vertical="center"/>
    </xf>
    <xf numFmtId="164" fontId="3" fillId="4" borderId="9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1" fontId="7" fillId="2" borderId="10" xfId="0" applyNumberFormat="1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vertical="center" wrapText="1"/>
    </xf>
    <xf numFmtId="164" fontId="7" fillId="2" borderId="11" xfId="1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7" fillId="2" borderId="2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64" fontId="7" fillId="4" borderId="8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7" fillId="4" borderId="9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vertical="center" wrapText="1"/>
    </xf>
    <xf numFmtId="3" fontId="3" fillId="2" borderId="15" xfId="0" applyNumberFormat="1" applyFont="1" applyFill="1" applyBorder="1" applyAlignment="1">
      <alignment vertical="center" wrapText="1"/>
    </xf>
    <xf numFmtId="164" fontId="3" fillId="2" borderId="15" xfId="1" applyNumberFormat="1" applyFont="1" applyFill="1" applyBorder="1" applyAlignment="1">
      <alignment horizontal="center" vertical="center"/>
    </xf>
    <xf numFmtId="164" fontId="3" fillId="2" borderId="16" xfId="1" applyNumberFormat="1" applyFont="1" applyFill="1" applyBorder="1" applyAlignment="1">
      <alignment horizontal="center" vertical="center"/>
    </xf>
    <xf numFmtId="3" fontId="4" fillId="3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 wrapText="1"/>
    </xf>
  </cellXfs>
  <cellStyles count="6">
    <cellStyle name="Обычный" xfId="0" builtinId="0"/>
    <cellStyle name="Обычный 2" xfId="3"/>
    <cellStyle name="Финансовый" xfId="1" builtinId="3"/>
    <cellStyle name="Финансовый 2" xfId="2"/>
    <cellStyle name="Финансовый 2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zoomScale="90" zoomScaleNormal="90" zoomScaleSheetLayoutView="100" workbookViewId="0">
      <pane xSplit="2" ySplit="7" topLeftCell="C47" activePane="bottomRight" state="frozen"/>
      <selection pane="topRight" activeCell="C1" sqref="C1"/>
      <selection pane="bottomLeft" activeCell="A10" sqref="A10"/>
      <selection pane="bottomRight" activeCell="K57" sqref="K57"/>
    </sheetView>
  </sheetViews>
  <sheetFormatPr defaultColWidth="58.28515625" defaultRowHeight="15.75" x14ac:dyDescent="0.25"/>
  <cols>
    <col min="1" max="1" width="9.140625" style="6" customWidth="1"/>
    <col min="2" max="2" width="48.42578125" style="11" customWidth="1"/>
    <col min="3" max="3" width="15.85546875" style="12" bestFit="1" customWidth="1"/>
    <col min="4" max="6" width="14" style="12" bestFit="1" customWidth="1"/>
    <col min="7" max="8" width="12.85546875" style="12" bestFit="1" customWidth="1"/>
    <col min="9" max="9" width="15.5703125" style="12" customWidth="1"/>
    <col min="10" max="10" width="12.85546875" style="12" bestFit="1" customWidth="1"/>
    <col min="11" max="11" width="15.7109375" style="12" customWidth="1"/>
    <col min="12" max="12" width="17.85546875" style="12" customWidth="1"/>
    <col min="13" max="42" width="12.140625" style="12" customWidth="1"/>
    <col min="43" max="106" width="58.28515625" style="12"/>
    <col min="107" max="107" width="9" style="12" customWidth="1"/>
    <col min="108" max="108" width="60.28515625" style="12" customWidth="1"/>
    <col min="109" max="109" width="15.7109375" style="12" bestFit="1" customWidth="1"/>
    <col min="110" max="110" width="14.140625" style="12" bestFit="1" customWidth="1"/>
    <col min="111" max="111" width="14.140625" style="12" customWidth="1"/>
    <col min="112" max="112" width="14.140625" style="12" bestFit="1" customWidth="1"/>
    <col min="113" max="114" width="13.140625" style="12" bestFit="1" customWidth="1"/>
    <col min="115" max="115" width="14" style="12" customWidth="1"/>
    <col min="116" max="116" width="13.140625" style="12" customWidth="1"/>
    <col min="117" max="117" width="16.42578125" style="12" customWidth="1"/>
    <col min="118" max="118" width="18.5703125" style="12" customWidth="1"/>
    <col min="119" max="119" width="8.140625" style="12" bestFit="1" customWidth="1"/>
    <col min="120" max="362" width="58.28515625" style="12"/>
    <col min="363" max="363" width="9" style="12" customWidth="1"/>
    <col min="364" max="364" width="60.28515625" style="12" customWidth="1"/>
    <col min="365" max="365" width="15.7109375" style="12" bestFit="1" customWidth="1"/>
    <col min="366" max="366" width="14.140625" style="12" bestFit="1" customWidth="1"/>
    <col min="367" max="367" width="14.140625" style="12" customWidth="1"/>
    <col min="368" max="368" width="14.140625" style="12" bestFit="1" customWidth="1"/>
    <col min="369" max="370" width="13.140625" style="12" bestFit="1" customWidth="1"/>
    <col min="371" max="371" width="14" style="12" customWidth="1"/>
    <col min="372" max="372" width="13.140625" style="12" customWidth="1"/>
    <col min="373" max="373" width="16.42578125" style="12" customWidth="1"/>
    <col min="374" max="374" width="18.5703125" style="12" customWidth="1"/>
    <col min="375" max="375" width="8.140625" style="12" bestFit="1" customWidth="1"/>
    <col min="376" max="618" width="58.28515625" style="12"/>
    <col min="619" max="619" width="9" style="12" customWidth="1"/>
    <col min="620" max="620" width="60.28515625" style="12" customWidth="1"/>
    <col min="621" max="621" width="15.7109375" style="12" bestFit="1" customWidth="1"/>
    <col min="622" max="622" width="14.140625" style="12" bestFit="1" customWidth="1"/>
    <col min="623" max="623" width="14.140625" style="12" customWidth="1"/>
    <col min="624" max="624" width="14.140625" style="12" bestFit="1" customWidth="1"/>
    <col min="625" max="626" width="13.140625" style="12" bestFit="1" customWidth="1"/>
    <col min="627" max="627" width="14" style="12" customWidth="1"/>
    <col min="628" max="628" width="13.140625" style="12" customWidth="1"/>
    <col min="629" max="629" width="16.42578125" style="12" customWidth="1"/>
    <col min="630" max="630" width="18.5703125" style="12" customWidth="1"/>
    <col min="631" max="631" width="8.140625" style="12" bestFit="1" customWidth="1"/>
    <col min="632" max="874" width="58.28515625" style="12"/>
    <col min="875" max="875" width="9" style="12" customWidth="1"/>
    <col min="876" max="876" width="60.28515625" style="12" customWidth="1"/>
    <col min="877" max="877" width="15.7109375" style="12" bestFit="1" customWidth="1"/>
    <col min="878" max="878" width="14.140625" style="12" bestFit="1" customWidth="1"/>
    <col min="879" max="879" width="14.140625" style="12" customWidth="1"/>
    <col min="880" max="880" width="14.140625" style="12" bestFit="1" customWidth="1"/>
    <col min="881" max="882" width="13.140625" style="12" bestFit="1" customWidth="1"/>
    <col min="883" max="883" width="14" style="12" customWidth="1"/>
    <col min="884" max="884" width="13.140625" style="12" customWidth="1"/>
    <col min="885" max="885" width="16.42578125" style="12" customWidth="1"/>
    <col min="886" max="886" width="18.5703125" style="12" customWidth="1"/>
    <col min="887" max="887" width="8.140625" style="12" bestFit="1" customWidth="1"/>
    <col min="888" max="1130" width="58.28515625" style="12"/>
    <col min="1131" max="1131" width="9" style="12" customWidth="1"/>
    <col min="1132" max="1132" width="60.28515625" style="12" customWidth="1"/>
    <col min="1133" max="1133" width="15.7109375" style="12" bestFit="1" customWidth="1"/>
    <col min="1134" max="1134" width="14.140625" style="12" bestFit="1" customWidth="1"/>
    <col min="1135" max="1135" width="14.140625" style="12" customWidth="1"/>
    <col min="1136" max="1136" width="14.140625" style="12" bestFit="1" customWidth="1"/>
    <col min="1137" max="1138" width="13.140625" style="12" bestFit="1" customWidth="1"/>
    <col min="1139" max="1139" width="14" style="12" customWidth="1"/>
    <col min="1140" max="1140" width="13.140625" style="12" customWidth="1"/>
    <col min="1141" max="1141" width="16.42578125" style="12" customWidth="1"/>
    <col min="1142" max="1142" width="18.5703125" style="12" customWidth="1"/>
    <col min="1143" max="1143" width="8.140625" style="12" bestFit="1" customWidth="1"/>
    <col min="1144" max="1386" width="58.28515625" style="12"/>
    <col min="1387" max="1387" width="9" style="12" customWidth="1"/>
    <col min="1388" max="1388" width="60.28515625" style="12" customWidth="1"/>
    <col min="1389" max="1389" width="15.7109375" style="12" bestFit="1" customWidth="1"/>
    <col min="1390" max="1390" width="14.140625" style="12" bestFit="1" customWidth="1"/>
    <col min="1391" max="1391" width="14.140625" style="12" customWidth="1"/>
    <col min="1392" max="1392" width="14.140625" style="12" bestFit="1" customWidth="1"/>
    <col min="1393" max="1394" width="13.140625" style="12" bestFit="1" customWidth="1"/>
    <col min="1395" max="1395" width="14" style="12" customWidth="1"/>
    <col min="1396" max="1396" width="13.140625" style="12" customWidth="1"/>
    <col min="1397" max="1397" width="16.42578125" style="12" customWidth="1"/>
    <col min="1398" max="1398" width="18.5703125" style="12" customWidth="1"/>
    <col min="1399" max="1399" width="8.140625" style="12" bestFit="1" customWidth="1"/>
    <col min="1400" max="1642" width="58.28515625" style="12"/>
    <col min="1643" max="1643" width="9" style="12" customWidth="1"/>
    <col min="1644" max="1644" width="60.28515625" style="12" customWidth="1"/>
    <col min="1645" max="1645" width="15.7109375" style="12" bestFit="1" customWidth="1"/>
    <col min="1646" max="1646" width="14.140625" style="12" bestFit="1" customWidth="1"/>
    <col min="1647" max="1647" width="14.140625" style="12" customWidth="1"/>
    <col min="1648" max="1648" width="14.140625" style="12" bestFit="1" customWidth="1"/>
    <col min="1649" max="1650" width="13.140625" style="12" bestFit="1" customWidth="1"/>
    <col min="1651" max="1651" width="14" style="12" customWidth="1"/>
    <col min="1652" max="1652" width="13.140625" style="12" customWidth="1"/>
    <col min="1653" max="1653" width="16.42578125" style="12" customWidth="1"/>
    <col min="1654" max="1654" width="18.5703125" style="12" customWidth="1"/>
    <col min="1655" max="1655" width="8.140625" style="12" bestFit="1" customWidth="1"/>
    <col min="1656" max="1898" width="58.28515625" style="12"/>
    <col min="1899" max="1899" width="9" style="12" customWidth="1"/>
    <col min="1900" max="1900" width="60.28515625" style="12" customWidth="1"/>
    <col min="1901" max="1901" width="15.7109375" style="12" bestFit="1" customWidth="1"/>
    <col min="1902" max="1902" width="14.140625" style="12" bestFit="1" customWidth="1"/>
    <col min="1903" max="1903" width="14.140625" style="12" customWidth="1"/>
    <col min="1904" max="1904" width="14.140625" style="12" bestFit="1" customWidth="1"/>
    <col min="1905" max="1906" width="13.140625" style="12" bestFit="1" customWidth="1"/>
    <col min="1907" max="1907" width="14" style="12" customWidth="1"/>
    <col min="1908" max="1908" width="13.140625" style="12" customWidth="1"/>
    <col min="1909" max="1909" width="16.42578125" style="12" customWidth="1"/>
    <col min="1910" max="1910" width="18.5703125" style="12" customWidth="1"/>
    <col min="1911" max="1911" width="8.140625" style="12" bestFit="1" customWidth="1"/>
    <col min="1912" max="2154" width="58.28515625" style="12"/>
    <col min="2155" max="2155" width="9" style="12" customWidth="1"/>
    <col min="2156" max="2156" width="60.28515625" style="12" customWidth="1"/>
    <col min="2157" max="2157" width="15.7109375" style="12" bestFit="1" customWidth="1"/>
    <col min="2158" max="2158" width="14.140625" style="12" bestFit="1" customWidth="1"/>
    <col min="2159" max="2159" width="14.140625" style="12" customWidth="1"/>
    <col min="2160" max="2160" width="14.140625" style="12" bestFit="1" customWidth="1"/>
    <col min="2161" max="2162" width="13.140625" style="12" bestFit="1" customWidth="1"/>
    <col min="2163" max="2163" width="14" style="12" customWidth="1"/>
    <col min="2164" max="2164" width="13.140625" style="12" customWidth="1"/>
    <col min="2165" max="2165" width="16.42578125" style="12" customWidth="1"/>
    <col min="2166" max="2166" width="18.5703125" style="12" customWidth="1"/>
    <col min="2167" max="2167" width="8.140625" style="12" bestFit="1" customWidth="1"/>
    <col min="2168" max="2410" width="58.28515625" style="12"/>
    <col min="2411" max="2411" width="9" style="12" customWidth="1"/>
    <col min="2412" max="2412" width="60.28515625" style="12" customWidth="1"/>
    <col min="2413" max="2413" width="15.7109375" style="12" bestFit="1" customWidth="1"/>
    <col min="2414" max="2414" width="14.140625" style="12" bestFit="1" customWidth="1"/>
    <col min="2415" max="2415" width="14.140625" style="12" customWidth="1"/>
    <col min="2416" max="2416" width="14.140625" style="12" bestFit="1" customWidth="1"/>
    <col min="2417" max="2418" width="13.140625" style="12" bestFit="1" customWidth="1"/>
    <col min="2419" max="2419" width="14" style="12" customWidth="1"/>
    <col min="2420" max="2420" width="13.140625" style="12" customWidth="1"/>
    <col min="2421" max="2421" width="16.42578125" style="12" customWidth="1"/>
    <col min="2422" max="2422" width="18.5703125" style="12" customWidth="1"/>
    <col min="2423" max="2423" width="8.140625" style="12" bestFit="1" customWidth="1"/>
    <col min="2424" max="2666" width="58.28515625" style="12"/>
    <col min="2667" max="2667" width="9" style="12" customWidth="1"/>
    <col min="2668" max="2668" width="60.28515625" style="12" customWidth="1"/>
    <col min="2669" max="2669" width="15.7109375" style="12" bestFit="1" customWidth="1"/>
    <col min="2670" max="2670" width="14.140625" style="12" bestFit="1" customWidth="1"/>
    <col min="2671" max="2671" width="14.140625" style="12" customWidth="1"/>
    <col min="2672" max="2672" width="14.140625" style="12" bestFit="1" customWidth="1"/>
    <col min="2673" max="2674" width="13.140625" style="12" bestFit="1" customWidth="1"/>
    <col min="2675" max="2675" width="14" style="12" customWidth="1"/>
    <col min="2676" max="2676" width="13.140625" style="12" customWidth="1"/>
    <col min="2677" max="2677" width="16.42578125" style="12" customWidth="1"/>
    <col min="2678" max="2678" width="18.5703125" style="12" customWidth="1"/>
    <col min="2679" max="2679" width="8.140625" style="12" bestFit="1" customWidth="1"/>
    <col min="2680" max="2922" width="58.28515625" style="12"/>
    <col min="2923" max="2923" width="9" style="12" customWidth="1"/>
    <col min="2924" max="2924" width="60.28515625" style="12" customWidth="1"/>
    <col min="2925" max="2925" width="15.7109375" style="12" bestFit="1" customWidth="1"/>
    <col min="2926" max="2926" width="14.140625" style="12" bestFit="1" customWidth="1"/>
    <col min="2927" max="2927" width="14.140625" style="12" customWidth="1"/>
    <col min="2928" max="2928" width="14.140625" style="12" bestFit="1" customWidth="1"/>
    <col min="2929" max="2930" width="13.140625" style="12" bestFit="1" customWidth="1"/>
    <col min="2931" max="2931" width="14" style="12" customWidth="1"/>
    <col min="2932" max="2932" width="13.140625" style="12" customWidth="1"/>
    <col min="2933" max="2933" width="16.42578125" style="12" customWidth="1"/>
    <col min="2934" max="2934" width="18.5703125" style="12" customWidth="1"/>
    <col min="2935" max="2935" width="8.140625" style="12" bestFit="1" customWidth="1"/>
    <col min="2936" max="3178" width="58.28515625" style="12"/>
    <col min="3179" max="3179" width="9" style="12" customWidth="1"/>
    <col min="3180" max="3180" width="60.28515625" style="12" customWidth="1"/>
    <col min="3181" max="3181" width="15.7109375" style="12" bestFit="1" customWidth="1"/>
    <col min="3182" max="3182" width="14.140625" style="12" bestFit="1" customWidth="1"/>
    <col min="3183" max="3183" width="14.140625" style="12" customWidth="1"/>
    <col min="3184" max="3184" width="14.140625" style="12" bestFit="1" customWidth="1"/>
    <col min="3185" max="3186" width="13.140625" style="12" bestFit="1" customWidth="1"/>
    <col min="3187" max="3187" width="14" style="12" customWidth="1"/>
    <col min="3188" max="3188" width="13.140625" style="12" customWidth="1"/>
    <col min="3189" max="3189" width="16.42578125" style="12" customWidth="1"/>
    <col min="3190" max="3190" width="18.5703125" style="12" customWidth="1"/>
    <col min="3191" max="3191" width="8.140625" style="12" bestFit="1" customWidth="1"/>
    <col min="3192" max="3434" width="58.28515625" style="12"/>
    <col min="3435" max="3435" width="9" style="12" customWidth="1"/>
    <col min="3436" max="3436" width="60.28515625" style="12" customWidth="1"/>
    <col min="3437" max="3437" width="15.7109375" style="12" bestFit="1" customWidth="1"/>
    <col min="3438" max="3438" width="14.140625" style="12" bestFit="1" customWidth="1"/>
    <col min="3439" max="3439" width="14.140625" style="12" customWidth="1"/>
    <col min="3440" max="3440" width="14.140625" style="12" bestFit="1" customWidth="1"/>
    <col min="3441" max="3442" width="13.140625" style="12" bestFit="1" customWidth="1"/>
    <col min="3443" max="3443" width="14" style="12" customWidth="1"/>
    <col min="3444" max="3444" width="13.140625" style="12" customWidth="1"/>
    <col min="3445" max="3445" width="16.42578125" style="12" customWidth="1"/>
    <col min="3446" max="3446" width="18.5703125" style="12" customWidth="1"/>
    <col min="3447" max="3447" width="8.140625" style="12" bestFit="1" customWidth="1"/>
    <col min="3448" max="3690" width="58.28515625" style="12"/>
    <col min="3691" max="3691" width="9" style="12" customWidth="1"/>
    <col min="3692" max="3692" width="60.28515625" style="12" customWidth="1"/>
    <col min="3693" max="3693" width="15.7109375" style="12" bestFit="1" customWidth="1"/>
    <col min="3694" max="3694" width="14.140625" style="12" bestFit="1" customWidth="1"/>
    <col min="3695" max="3695" width="14.140625" style="12" customWidth="1"/>
    <col min="3696" max="3696" width="14.140625" style="12" bestFit="1" customWidth="1"/>
    <col min="3697" max="3698" width="13.140625" style="12" bestFit="1" customWidth="1"/>
    <col min="3699" max="3699" width="14" style="12" customWidth="1"/>
    <col min="3700" max="3700" width="13.140625" style="12" customWidth="1"/>
    <col min="3701" max="3701" width="16.42578125" style="12" customWidth="1"/>
    <col min="3702" max="3702" width="18.5703125" style="12" customWidth="1"/>
    <col min="3703" max="3703" width="8.140625" style="12" bestFit="1" customWidth="1"/>
    <col min="3704" max="3946" width="58.28515625" style="12"/>
    <col min="3947" max="3947" width="9" style="12" customWidth="1"/>
    <col min="3948" max="3948" width="60.28515625" style="12" customWidth="1"/>
    <col min="3949" max="3949" width="15.7109375" style="12" bestFit="1" customWidth="1"/>
    <col min="3950" max="3950" width="14.140625" style="12" bestFit="1" customWidth="1"/>
    <col min="3951" max="3951" width="14.140625" style="12" customWidth="1"/>
    <col min="3952" max="3952" width="14.140625" style="12" bestFit="1" customWidth="1"/>
    <col min="3953" max="3954" width="13.140625" style="12" bestFit="1" customWidth="1"/>
    <col min="3955" max="3955" width="14" style="12" customWidth="1"/>
    <col min="3956" max="3956" width="13.140625" style="12" customWidth="1"/>
    <col min="3957" max="3957" width="16.42578125" style="12" customWidth="1"/>
    <col min="3958" max="3958" width="18.5703125" style="12" customWidth="1"/>
    <col min="3959" max="3959" width="8.140625" style="12" bestFit="1" customWidth="1"/>
    <col min="3960" max="4202" width="58.28515625" style="12"/>
    <col min="4203" max="4203" width="9" style="12" customWidth="1"/>
    <col min="4204" max="4204" width="60.28515625" style="12" customWidth="1"/>
    <col min="4205" max="4205" width="15.7109375" style="12" bestFit="1" customWidth="1"/>
    <col min="4206" max="4206" width="14.140625" style="12" bestFit="1" customWidth="1"/>
    <col min="4207" max="4207" width="14.140625" style="12" customWidth="1"/>
    <col min="4208" max="4208" width="14.140625" style="12" bestFit="1" customWidth="1"/>
    <col min="4209" max="4210" width="13.140625" style="12" bestFit="1" customWidth="1"/>
    <col min="4211" max="4211" width="14" style="12" customWidth="1"/>
    <col min="4212" max="4212" width="13.140625" style="12" customWidth="1"/>
    <col min="4213" max="4213" width="16.42578125" style="12" customWidth="1"/>
    <col min="4214" max="4214" width="18.5703125" style="12" customWidth="1"/>
    <col min="4215" max="4215" width="8.140625" style="12" bestFit="1" customWidth="1"/>
    <col min="4216" max="4458" width="58.28515625" style="12"/>
    <col min="4459" max="4459" width="9" style="12" customWidth="1"/>
    <col min="4460" max="4460" width="60.28515625" style="12" customWidth="1"/>
    <col min="4461" max="4461" width="15.7109375" style="12" bestFit="1" customWidth="1"/>
    <col min="4462" max="4462" width="14.140625" style="12" bestFit="1" customWidth="1"/>
    <col min="4463" max="4463" width="14.140625" style="12" customWidth="1"/>
    <col min="4464" max="4464" width="14.140625" style="12" bestFit="1" customWidth="1"/>
    <col min="4465" max="4466" width="13.140625" style="12" bestFit="1" customWidth="1"/>
    <col min="4467" max="4467" width="14" style="12" customWidth="1"/>
    <col min="4468" max="4468" width="13.140625" style="12" customWidth="1"/>
    <col min="4469" max="4469" width="16.42578125" style="12" customWidth="1"/>
    <col min="4470" max="4470" width="18.5703125" style="12" customWidth="1"/>
    <col min="4471" max="4471" width="8.140625" style="12" bestFit="1" customWidth="1"/>
    <col min="4472" max="4714" width="58.28515625" style="12"/>
    <col min="4715" max="4715" width="9" style="12" customWidth="1"/>
    <col min="4716" max="4716" width="60.28515625" style="12" customWidth="1"/>
    <col min="4717" max="4717" width="15.7109375" style="12" bestFit="1" customWidth="1"/>
    <col min="4718" max="4718" width="14.140625" style="12" bestFit="1" customWidth="1"/>
    <col min="4719" max="4719" width="14.140625" style="12" customWidth="1"/>
    <col min="4720" max="4720" width="14.140625" style="12" bestFit="1" customWidth="1"/>
    <col min="4721" max="4722" width="13.140625" style="12" bestFit="1" customWidth="1"/>
    <col min="4723" max="4723" width="14" style="12" customWidth="1"/>
    <col min="4724" max="4724" width="13.140625" style="12" customWidth="1"/>
    <col min="4725" max="4725" width="16.42578125" style="12" customWidth="1"/>
    <col min="4726" max="4726" width="18.5703125" style="12" customWidth="1"/>
    <col min="4727" max="4727" width="8.140625" style="12" bestFit="1" customWidth="1"/>
    <col min="4728" max="4970" width="58.28515625" style="12"/>
    <col min="4971" max="4971" width="9" style="12" customWidth="1"/>
    <col min="4972" max="4972" width="60.28515625" style="12" customWidth="1"/>
    <col min="4973" max="4973" width="15.7109375" style="12" bestFit="1" customWidth="1"/>
    <col min="4974" max="4974" width="14.140625" style="12" bestFit="1" customWidth="1"/>
    <col min="4975" max="4975" width="14.140625" style="12" customWidth="1"/>
    <col min="4976" max="4976" width="14.140625" style="12" bestFit="1" customWidth="1"/>
    <col min="4977" max="4978" width="13.140625" style="12" bestFit="1" customWidth="1"/>
    <col min="4979" max="4979" width="14" style="12" customWidth="1"/>
    <col min="4980" max="4980" width="13.140625" style="12" customWidth="1"/>
    <col min="4981" max="4981" width="16.42578125" style="12" customWidth="1"/>
    <col min="4982" max="4982" width="18.5703125" style="12" customWidth="1"/>
    <col min="4983" max="4983" width="8.140625" style="12" bestFit="1" customWidth="1"/>
    <col min="4984" max="5226" width="58.28515625" style="12"/>
    <col min="5227" max="5227" width="9" style="12" customWidth="1"/>
    <col min="5228" max="5228" width="60.28515625" style="12" customWidth="1"/>
    <col min="5229" max="5229" width="15.7109375" style="12" bestFit="1" customWidth="1"/>
    <col min="5230" max="5230" width="14.140625" style="12" bestFit="1" customWidth="1"/>
    <col min="5231" max="5231" width="14.140625" style="12" customWidth="1"/>
    <col min="5232" max="5232" width="14.140625" style="12" bestFit="1" customWidth="1"/>
    <col min="5233" max="5234" width="13.140625" style="12" bestFit="1" customWidth="1"/>
    <col min="5235" max="5235" width="14" style="12" customWidth="1"/>
    <col min="5236" max="5236" width="13.140625" style="12" customWidth="1"/>
    <col min="5237" max="5237" width="16.42578125" style="12" customWidth="1"/>
    <col min="5238" max="5238" width="18.5703125" style="12" customWidth="1"/>
    <col min="5239" max="5239" width="8.140625" style="12" bestFit="1" customWidth="1"/>
    <col min="5240" max="5482" width="58.28515625" style="12"/>
    <col min="5483" max="5483" width="9" style="12" customWidth="1"/>
    <col min="5484" max="5484" width="60.28515625" style="12" customWidth="1"/>
    <col min="5485" max="5485" width="15.7109375" style="12" bestFit="1" customWidth="1"/>
    <col min="5486" max="5486" width="14.140625" style="12" bestFit="1" customWidth="1"/>
    <col min="5487" max="5487" width="14.140625" style="12" customWidth="1"/>
    <col min="5488" max="5488" width="14.140625" style="12" bestFit="1" customWidth="1"/>
    <col min="5489" max="5490" width="13.140625" style="12" bestFit="1" customWidth="1"/>
    <col min="5491" max="5491" width="14" style="12" customWidth="1"/>
    <col min="5492" max="5492" width="13.140625" style="12" customWidth="1"/>
    <col min="5493" max="5493" width="16.42578125" style="12" customWidth="1"/>
    <col min="5494" max="5494" width="18.5703125" style="12" customWidth="1"/>
    <col min="5495" max="5495" width="8.140625" style="12" bestFit="1" customWidth="1"/>
    <col min="5496" max="5738" width="58.28515625" style="12"/>
    <col min="5739" max="5739" width="9" style="12" customWidth="1"/>
    <col min="5740" max="5740" width="60.28515625" style="12" customWidth="1"/>
    <col min="5741" max="5741" width="15.7109375" style="12" bestFit="1" customWidth="1"/>
    <col min="5742" max="5742" width="14.140625" style="12" bestFit="1" customWidth="1"/>
    <col min="5743" max="5743" width="14.140625" style="12" customWidth="1"/>
    <col min="5744" max="5744" width="14.140625" style="12" bestFit="1" customWidth="1"/>
    <col min="5745" max="5746" width="13.140625" style="12" bestFit="1" customWidth="1"/>
    <col min="5747" max="5747" width="14" style="12" customWidth="1"/>
    <col min="5748" max="5748" width="13.140625" style="12" customWidth="1"/>
    <col min="5749" max="5749" width="16.42578125" style="12" customWidth="1"/>
    <col min="5750" max="5750" width="18.5703125" style="12" customWidth="1"/>
    <col min="5751" max="5751" width="8.140625" style="12" bestFit="1" customWidth="1"/>
    <col min="5752" max="5994" width="58.28515625" style="12"/>
    <col min="5995" max="5995" width="9" style="12" customWidth="1"/>
    <col min="5996" max="5996" width="60.28515625" style="12" customWidth="1"/>
    <col min="5997" max="5997" width="15.7109375" style="12" bestFit="1" customWidth="1"/>
    <col min="5998" max="5998" width="14.140625" style="12" bestFit="1" customWidth="1"/>
    <col min="5999" max="5999" width="14.140625" style="12" customWidth="1"/>
    <col min="6000" max="6000" width="14.140625" style="12" bestFit="1" customWidth="1"/>
    <col min="6001" max="6002" width="13.140625" style="12" bestFit="1" customWidth="1"/>
    <col min="6003" max="6003" width="14" style="12" customWidth="1"/>
    <col min="6004" max="6004" width="13.140625" style="12" customWidth="1"/>
    <col min="6005" max="6005" width="16.42578125" style="12" customWidth="1"/>
    <col min="6006" max="6006" width="18.5703125" style="12" customWidth="1"/>
    <col min="6007" max="6007" width="8.140625" style="12" bestFit="1" customWidth="1"/>
    <col min="6008" max="6250" width="58.28515625" style="12"/>
    <col min="6251" max="6251" width="9" style="12" customWidth="1"/>
    <col min="6252" max="6252" width="60.28515625" style="12" customWidth="1"/>
    <col min="6253" max="6253" width="15.7109375" style="12" bestFit="1" customWidth="1"/>
    <col min="6254" max="6254" width="14.140625" style="12" bestFit="1" customWidth="1"/>
    <col min="6255" max="6255" width="14.140625" style="12" customWidth="1"/>
    <col min="6256" max="6256" width="14.140625" style="12" bestFit="1" customWidth="1"/>
    <col min="6257" max="6258" width="13.140625" style="12" bestFit="1" customWidth="1"/>
    <col min="6259" max="6259" width="14" style="12" customWidth="1"/>
    <col min="6260" max="6260" width="13.140625" style="12" customWidth="1"/>
    <col min="6261" max="6261" width="16.42578125" style="12" customWidth="1"/>
    <col min="6262" max="6262" width="18.5703125" style="12" customWidth="1"/>
    <col min="6263" max="6263" width="8.140625" style="12" bestFit="1" customWidth="1"/>
    <col min="6264" max="6506" width="58.28515625" style="12"/>
    <col min="6507" max="6507" width="9" style="12" customWidth="1"/>
    <col min="6508" max="6508" width="60.28515625" style="12" customWidth="1"/>
    <col min="6509" max="6509" width="15.7109375" style="12" bestFit="1" customWidth="1"/>
    <col min="6510" max="6510" width="14.140625" style="12" bestFit="1" customWidth="1"/>
    <col min="6511" max="6511" width="14.140625" style="12" customWidth="1"/>
    <col min="6512" max="6512" width="14.140625" style="12" bestFit="1" customWidth="1"/>
    <col min="6513" max="6514" width="13.140625" style="12" bestFit="1" customWidth="1"/>
    <col min="6515" max="6515" width="14" style="12" customWidth="1"/>
    <col min="6516" max="6516" width="13.140625" style="12" customWidth="1"/>
    <col min="6517" max="6517" width="16.42578125" style="12" customWidth="1"/>
    <col min="6518" max="6518" width="18.5703125" style="12" customWidth="1"/>
    <col min="6519" max="6519" width="8.140625" style="12" bestFit="1" customWidth="1"/>
    <col min="6520" max="6762" width="58.28515625" style="12"/>
    <col min="6763" max="6763" width="9" style="12" customWidth="1"/>
    <col min="6764" max="6764" width="60.28515625" style="12" customWidth="1"/>
    <col min="6765" max="6765" width="15.7109375" style="12" bestFit="1" customWidth="1"/>
    <col min="6766" max="6766" width="14.140625" style="12" bestFit="1" customWidth="1"/>
    <col min="6767" max="6767" width="14.140625" style="12" customWidth="1"/>
    <col min="6768" max="6768" width="14.140625" style="12" bestFit="1" customWidth="1"/>
    <col min="6769" max="6770" width="13.140625" style="12" bestFit="1" customWidth="1"/>
    <col min="6771" max="6771" width="14" style="12" customWidth="1"/>
    <col min="6772" max="6772" width="13.140625" style="12" customWidth="1"/>
    <col min="6773" max="6773" width="16.42578125" style="12" customWidth="1"/>
    <col min="6774" max="6774" width="18.5703125" style="12" customWidth="1"/>
    <col min="6775" max="6775" width="8.140625" style="12" bestFit="1" customWidth="1"/>
    <col min="6776" max="7018" width="58.28515625" style="12"/>
    <col min="7019" max="7019" width="9" style="12" customWidth="1"/>
    <col min="7020" max="7020" width="60.28515625" style="12" customWidth="1"/>
    <col min="7021" max="7021" width="15.7109375" style="12" bestFit="1" customWidth="1"/>
    <col min="7022" max="7022" width="14.140625" style="12" bestFit="1" customWidth="1"/>
    <col min="7023" max="7023" width="14.140625" style="12" customWidth="1"/>
    <col min="7024" max="7024" width="14.140625" style="12" bestFit="1" customWidth="1"/>
    <col min="7025" max="7026" width="13.140625" style="12" bestFit="1" customWidth="1"/>
    <col min="7027" max="7027" width="14" style="12" customWidth="1"/>
    <col min="7028" max="7028" width="13.140625" style="12" customWidth="1"/>
    <col min="7029" max="7029" width="16.42578125" style="12" customWidth="1"/>
    <col min="7030" max="7030" width="18.5703125" style="12" customWidth="1"/>
    <col min="7031" max="7031" width="8.140625" style="12" bestFit="1" customWidth="1"/>
    <col min="7032" max="7274" width="58.28515625" style="12"/>
    <col min="7275" max="7275" width="9" style="12" customWidth="1"/>
    <col min="7276" max="7276" width="60.28515625" style="12" customWidth="1"/>
    <col min="7277" max="7277" width="15.7109375" style="12" bestFit="1" customWidth="1"/>
    <col min="7278" max="7278" width="14.140625" style="12" bestFit="1" customWidth="1"/>
    <col min="7279" max="7279" width="14.140625" style="12" customWidth="1"/>
    <col min="7280" max="7280" width="14.140625" style="12" bestFit="1" customWidth="1"/>
    <col min="7281" max="7282" width="13.140625" style="12" bestFit="1" customWidth="1"/>
    <col min="7283" max="7283" width="14" style="12" customWidth="1"/>
    <col min="7284" max="7284" width="13.140625" style="12" customWidth="1"/>
    <col min="7285" max="7285" width="16.42578125" style="12" customWidth="1"/>
    <col min="7286" max="7286" width="18.5703125" style="12" customWidth="1"/>
    <col min="7287" max="7287" width="8.140625" style="12" bestFit="1" customWidth="1"/>
    <col min="7288" max="7530" width="58.28515625" style="12"/>
    <col min="7531" max="7531" width="9" style="12" customWidth="1"/>
    <col min="7532" max="7532" width="60.28515625" style="12" customWidth="1"/>
    <col min="7533" max="7533" width="15.7109375" style="12" bestFit="1" customWidth="1"/>
    <col min="7534" max="7534" width="14.140625" style="12" bestFit="1" customWidth="1"/>
    <col min="7535" max="7535" width="14.140625" style="12" customWidth="1"/>
    <col min="7536" max="7536" width="14.140625" style="12" bestFit="1" customWidth="1"/>
    <col min="7537" max="7538" width="13.140625" style="12" bestFit="1" customWidth="1"/>
    <col min="7539" max="7539" width="14" style="12" customWidth="1"/>
    <col min="7540" max="7540" width="13.140625" style="12" customWidth="1"/>
    <col min="7541" max="7541" width="16.42578125" style="12" customWidth="1"/>
    <col min="7542" max="7542" width="18.5703125" style="12" customWidth="1"/>
    <col min="7543" max="7543" width="8.140625" style="12" bestFit="1" customWidth="1"/>
    <col min="7544" max="7786" width="58.28515625" style="12"/>
    <col min="7787" max="7787" width="9" style="12" customWidth="1"/>
    <col min="7788" max="7788" width="60.28515625" style="12" customWidth="1"/>
    <col min="7789" max="7789" width="15.7109375" style="12" bestFit="1" customWidth="1"/>
    <col min="7790" max="7790" width="14.140625" style="12" bestFit="1" customWidth="1"/>
    <col min="7791" max="7791" width="14.140625" style="12" customWidth="1"/>
    <col min="7792" max="7792" width="14.140625" style="12" bestFit="1" customWidth="1"/>
    <col min="7793" max="7794" width="13.140625" style="12" bestFit="1" customWidth="1"/>
    <col min="7795" max="7795" width="14" style="12" customWidth="1"/>
    <col min="7796" max="7796" width="13.140625" style="12" customWidth="1"/>
    <col min="7797" max="7797" width="16.42578125" style="12" customWidth="1"/>
    <col min="7798" max="7798" width="18.5703125" style="12" customWidth="1"/>
    <col min="7799" max="7799" width="8.140625" style="12" bestFit="1" customWidth="1"/>
    <col min="7800" max="8042" width="58.28515625" style="12"/>
    <col min="8043" max="8043" width="9" style="12" customWidth="1"/>
    <col min="8044" max="8044" width="60.28515625" style="12" customWidth="1"/>
    <col min="8045" max="8045" width="15.7109375" style="12" bestFit="1" customWidth="1"/>
    <col min="8046" max="8046" width="14.140625" style="12" bestFit="1" customWidth="1"/>
    <col min="8047" max="8047" width="14.140625" style="12" customWidth="1"/>
    <col min="8048" max="8048" width="14.140625" style="12" bestFit="1" customWidth="1"/>
    <col min="8049" max="8050" width="13.140625" style="12" bestFit="1" customWidth="1"/>
    <col min="8051" max="8051" width="14" style="12" customWidth="1"/>
    <col min="8052" max="8052" width="13.140625" style="12" customWidth="1"/>
    <col min="8053" max="8053" width="16.42578125" style="12" customWidth="1"/>
    <col min="8054" max="8054" width="18.5703125" style="12" customWidth="1"/>
    <col min="8055" max="8055" width="8.140625" style="12" bestFit="1" customWidth="1"/>
    <col min="8056" max="8298" width="58.28515625" style="12"/>
    <col min="8299" max="8299" width="9" style="12" customWidth="1"/>
    <col min="8300" max="8300" width="60.28515625" style="12" customWidth="1"/>
    <col min="8301" max="8301" width="15.7109375" style="12" bestFit="1" customWidth="1"/>
    <col min="8302" max="8302" width="14.140625" style="12" bestFit="1" customWidth="1"/>
    <col min="8303" max="8303" width="14.140625" style="12" customWidth="1"/>
    <col min="8304" max="8304" width="14.140625" style="12" bestFit="1" customWidth="1"/>
    <col min="8305" max="8306" width="13.140625" style="12" bestFit="1" customWidth="1"/>
    <col min="8307" max="8307" width="14" style="12" customWidth="1"/>
    <col min="8308" max="8308" width="13.140625" style="12" customWidth="1"/>
    <col min="8309" max="8309" width="16.42578125" style="12" customWidth="1"/>
    <col min="8310" max="8310" width="18.5703125" style="12" customWidth="1"/>
    <col min="8311" max="8311" width="8.140625" style="12" bestFit="1" customWidth="1"/>
    <col min="8312" max="8554" width="58.28515625" style="12"/>
    <col min="8555" max="8555" width="9" style="12" customWidth="1"/>
    <col min="8556" max="8556" width="60.28515625" style="12" customWidth="1"/>
    <col min="8557" max="8557" width="15.7109375" style="12" bestFit="1" customWidth="1"/>
    <col min="8558" max="8558" width="14.140625" style="12" bestFit="1" customWidth="1"/>
    <col min="8559" max="8559" width="14.140625" style="12" customWidth="1"/>
    <col min="8560" max="8560" width="14.140625" style="12" bestFit="1" customWidth="1"/>
    <col min="8561" max="8562" width="13.140625" style="12" bestFit="1" customWidth="1"/>
    <col min="8563" max="8563" width="14" style="12" customWidth="1"/>
    <col min="8564" max="8564" width="13.140625" style="12" customWidth="1"/>
    <col min="8565" max="8565" width="16.42578125" style="12" customWidth="1"/>
    <col min="8566" max="8566" width="18.5703125" style="12" customWidth="1"/>
    <col min="8567" max="8567" width="8.140625" style="12" bestFit="1" customWidth="1"/>
    <col min="8568" max="8810" width="58.28515625" style="12"/>
    <col min="8811" max="8811" width="9" style="12" customWidth="1"/>
    <col min="8812" max="8812" width="60.28515625" style="12" customWidth="1"/>
    <col min="8813" max="8813" width="15.7109375" style="12" bestFit="1" customWidth="1"/>
    <col min="8814" max="8814" width="14.140625" style="12" bestFit="1" customWidth="1"/>
    <col min="8815" max="8815" width="14.140625" style="12" customWidth="1"/>
    <col min="8816" max="8816" width="14.140625" style="12" bestFit="1" customWidth="1"/>
    <col min="8817" max="8818" width="13.140625" style="12" bestFit="1" customWidth="1"/>
    <col min="8819" max="8819" width="14" style="12" customWidth="1"/>
    <col min="8820" max="8820" width="13.140625" style="12" customWidth="1"/>
    <col min="8821" max="8821" width="16.42578125" style="12" customWidth="1"/>
    <col min="8822" max="8822" width="18.5703125" style="12" customWidth="1"/>
    <col min="8823" max="8823" width="8.140625" style="12" bestFit="1" customWidth="1"/>
    <col min="8824" max="9066" width="58.28515625" style="12"/>
    <col min="9067" max="9067" width="9" style="12" customWidth="1"/>
    <col min="9068" max="9068" width="60.28515625" style="12" customWidth="1"/>
    <col min="9069" max="9069" width="15.7109375" style="12" bestFit="1" customWidth="1"/>
    <col min="9070" max="9070" width="14.140625" style="12" bestFit="1" customWidth="1"/>
    <col min="9071" max="9071" width="14.140625" style="12" customWidth="1"/>
    <col min="9072" max="9072" width="14.140625" style="12" bestFit="1" customWidth="1"/>
    <col min="9073" max="9074" width="13.140625" style="12" bestFit="1" customWidth="1"/>
    <col min="9075" max="9075" width="14" style="12" customWidth="1"/>
    <col min="9076" max="9076" width="13.140625" style="12" customWidth="1"/>
    <col min="9077" max="9077" width="16.42578125" style="12" customWidth="1"/>
    <col min="9078" max="9078" width="18.5703125" style="12" customWidth="1"/>
    <col min="9079" max="9079" width="8.140625" style="12" bestFit="1" customWidth="1"/>
    <col min="9080" max="9322" width="58.28515625" style="12"/>
    <col min="9323" max="9323" width="9" style="12" customWidth="1"/>
    <col min="9324" max="9324" width="60.28515625" style="12" customWidth="1"/>
    <col min="9325" max="9325" width="15.7109375" style="12" bestFit="1" customWidth="1"/>
    <col min="9326" max="9326" width="14.140625" style="12" bestFit="1" customWidth="1"/>
    <col min="9327" max="9327" width="14.140625" style="12" customWidth="1"/>
    <col min="9328" max="9328" width="14.140625" style="12" bestFit="1" customWidth="1"/>
    <col min="9329" max="9330" width="13.140625" style="12" bestFit="1" customWidth="1"/>
    <col min="9331" max="9331" width="14" style="12" customWidth="1"/>
    <col min="9332" max="9332" width="13.140625" style="12" customWidth="1"/>
    <col min="9333" max="9333" width="16.42578125" style="12" customWidth="1"/>
    <col min="9334" max="9334" width="18.5703125" style="12" customWidth="1"/>
    <col min="9335" max="9335" width="8.140625" style="12" bestFit="1" customWidth="1"/>
    <col min="9336" max="9578" width="58.28515625" style="12"/>
    <col min="9579" max="9579" width="9" style="12" customWidth="1"/>
    <col min="9580" max="9580" width="60.28515625" style="12" customWidth="1"/>
    <col min="9581" max="9581" width="15.7109375" style="12" bestFit="1" customWidth="1"/>
    <col min="9582" max="9582" width="14.140625" style="12" bestFit="1" customWidth="1"/>
    <col min="9583" max="9583" width="14.140625" style="12" customWidth="1"/>
    <col min="9584" max="9584" width="14.140625" style="12" bestFit="1" customWidth="1"/>
    <col min="9585" max="9586" width="13.140625" style="12" bestFit="1" customWidth="1"/>
    <col min="9587" max="9587" width="14" style="12" customWidth="1"/>
    <col min="9588" max="9588" width="13.140625" style="12" customWidth="1"/>
    <col min="9589" max="9589" width="16.42578125" style="12" customWidth="1"/>
    <col min="9590" max="9590" width="18.5703125" style="12" customWidth="1"/>
    <col min="9591" max="9591" width="8.140625" style="12" bestFit="1" customWidth="1"/>
    <col min="9592" max="9834" width="58.28515625" style="12"/>
    <col min="9835" max="9835" width="9" style="12" customWidth="1"/>
    <col min="9836" max="9836" width="60.28515625" style="12" customWidth="1"/>
    <col min="9837" max="9837" width="15.7109375" style="12" bestFit="1" customWidth="1"/>
    <col min="9838" max="9838" width="14.140625" style="12" bestFit="1" customWidth="1"/>
    <col min="9839" max="9839" width="14.140625" style="12" customWidth="1"/>
    <col min="9840" max="9840" width="14.140625" style="12" bestFit="1" customWidth="1"/>
    <col min="9841" max="9842" width="13.140625" style="12" bestFit="1" customWidth="1"/>
    <col min="9843" max="9843" width="14" style="12" customWidth="1"/>
    <col min="9844" max="9844" width="13.140625" style="12" customWidth="1"/>
    <col min="9845" max="9845" width="16.42578125" style="12" customWidth="1"/>
    <col min="9846" max="9846" width="18.5703125" style="12" customWidth="1"/>
    <col min="9847" max="9847" width="8.140625" style="12" bestFit="1" customWidth="1"/>
    <col min="9848" max="10090" width="58.28515625" style="12"/>
    <col min="10091" max="10091" width="9" style="12" customWidth="1"/>
    <col min="10092" max="10092" width="60.28515625" style="12" customWidth="1"/>
    <col min="10093" max="10093" width="15.7109375" style="12" bestFit="1" customWidth="1"/>
    <col min="10094" max="10094" width="14.140625" style="12" bestFit="1" customWidth="1"/>
    <col min="10095" max="10095" width="14.140625" style="12" customWidth="1"/>
    <col min="10096" max="10096" width="14.140625" style="12" bestFit="1" customWidth="1"/>
    <col min="10097" max="10098" width="13.140625" style="12" bestFit="1" customWidth="1"/>
    <col min="10099" max="10099" width="14" style="12" customWidth="1"/>
    <col min="10100" max="10100" width="13.140625" style="12" customWidth="1"/>
    <col min="10101" max="10101" width="16.42578125" style="12" customWidth="1"/>
    <col min="10102" max="10102" width="18.5703125" style="12" customWidth="1"/>
    <col min="10103" max="10103" width="8.140625" style="12" bestFit="1" customWidth="1"/>
    <col min="10104" max="10346" width="58.28515625" style="12"/>
    <col min="10347" max="10347" width="9" style="12" customWidth="1"/>
    <col min="10348" max="10348" width="60.28515625" style="12" customWidth="1"/>
    <col min="10349" max="10349" width="15.7109375" style="12" bestFit="1" customWidth="1"/>
    <col min="10350" max="10350" width="14.140625" style="12" bestFit="1" customWidth="1"/>
    <col min="10351" max="10351" width="14.140625" style="12" customWidth="1"/>
    <col min="10352" max="10352" width="14.140625" style="12" bestFit="1" customWidth="1"/>
    <col min="10353" max="10354" width="13.140625" style="12" bestFit="1" customWidth="1"/>
    <col min="10355" max="10355" width="14" style="12" customWidth="1"/>
    <col min="10356" max="10356" width="13.140625" style="12" customWidth="1"/>
    <col min="10357" max="10357" width="16.42578125" style="12" customWidth="1"/>
    <col min="10358" max="10358" width="18.5703125" style="12" customWidth="1"/>
    <col min="10359" max="10359" width="8.140625" style="12" bestFit="1" customWidth="1"/>
    <col min="10360" max="10602" width="58.28515625" style="12"/>
    <col min="10603" max="10603" width="9" style="12" customWidth="1"/>
    <col min="10604" max="10604" width="60.28515625" style="12" customWidth="1"/>
    <col min="10605" max="10605" width="15.7109375" style="12" bestFit="1" customWidth="1"/>
    <col min="10606" max="10606" width="14.140625" style="12" bestFit="1" customWidth="1"/>
    <col min="10607" max="10607" width="14.140625" style="12" customWidth="1"/>
    <col min="10608" max="10608" width="14.140625" style="12" bestFit="1" customWidth="1"/>
    <col min="10609" max="10610" width="13.140625" style="12" bestFit="1" customWidth="1"/>
    <col min="10611" max="10611" width="14" style="12" customWidth="1"/>
    <col min="10612" max="10612" width="13.140625" style="12" customWidth="1"/>
    <col min="10613" max="10613" width="16.42578125" style="12" customWidth="1"/>
    <col min="10614" max="10614" width="18.5703125" style="12" customWidth="1"/>
    <col min="10615" max="10615" width="8.140625" style="12" bestFit="1" customWidth="1"/>
    <col min="10616" max="10858" width="58.28515625" style="12"/>
    <col min="10859" max="10859" width="9" style="12" customWidth="1"/>
    <col min="10860" max="10860" width="60.28515625" style="12" customWidth="1"/>
    <col min="10861" max="10861" width="15.7109375" style="12" bestFit="1" customWidth="1"/>
    <col min="10862" max="10862" width="14.140625" style="12" bestFit="1" customWidth="1"/>
    <col min="10863" max="10863" width="14.140625" style="12" customWidth="1"/>
    <col min="10864" max="10864" width="14.140625" style="12" bestFit="1" customWidth="1"/>
    <col min="10865" max="10866" width="13.140625" style="12" bestFit="1" customWidth="1"/>
    <col min="10867" max="10867" width="14" style="12" customWidth="1"/>
    <col min="10868" max="10868" width="13.140625" style="12" customWidth="1"/>
    <col min="10869" max="10869" width="16.42578125" style="12" customWidth="1"/>
    <col min="10870" max="10870" width="18.5703125" style="12" customWidth="1"/>
    <col min="10871" max="10871" width="8.140625" style="12" bestFit="1" customWidth="1"/>
    <col min="10872" max="11114" width="58.28515625" style="12"/>
    <col min="11115" max="11115" width="9" style="12" customWidth="1"/>
    <col min="11116" max="11116" width="60.28515625" style="12" customWidth="1"/>
    <col min="11117" max="11117" width="15.7109375" style="12" bestFit="1" customWidth="1"/>
    <col min="11118" max="11118" width="14.140625" style="12" bestFit="1" customWidth="1"/>
    <col min="11119" max="11119" width="14.140625" style="12" customWidth="1"/>
    <col min="11120" max="11120" width="14.140625" style="12" bestFit="1" customWidth="1"/>
    <col min="11121" max="11122" width="13.140625" style="12" bestFit="1" customWidth="1"/>
    <col min="11123" max="11123" width="14" style="12" customWidth="1"/>
    <col min="11124" max="11124" width="13.140625" style="12" customWidth="1"/>
    <col min="11125" max="11125" width="16.42578125" style="12" customWidth="1"/>
    <col min="11126" max="11126" width="18.5703125" style="12" customWidth="1"/>
    <col min="11127" max="11127" width="8.140625" style="12" bestFit="1" customWidth="1"/>
    <col min="11128" max="11370" width="58.28515625" style="12"/>
    <col min="11371" max="11371" width="9" style="12" customWidth="1"/>
    <col min="11372" max="11372" width="60.28515625" style="12" customWidth="1"/>
    <col min="11373" max="11373" width="15.7109375" style="12" bestFit="1" customWidth="1"/>
    <col min="11374" max="11374" width="14.140625" style="12" bestFit="1" customWidth="1"/>
    <col min="11375" max="11375" width="14.140625" style="12" customWidth="1"/>
    <col min="11376" max="11376" width="14.140625" style="12" bestFit="1" customWidth="1"/>
    <col min="11377" max="11378" width="13.140625" style="12" bestFit="1" customWidth="1"/>
    <col min="11379" max="11379" width="14" style="12" customWidth="1"/>
    <col min="11380" max="11380" width="13.140625" style="12" customWidth="1"/>
    <col min="11381" max="11381" width="16.42578125" style="12" customWidth="1"/>
    <col min="11382" max="11382" width="18.5703125" style="12" customWidth="1"/>
    <col min="11383" max="11383" width="8.140625" style="12" bestFit="1" customWidth="1"/>
    <col min="11384" max="11626" width="58.28515625" style="12"/>
    <col min="11627" max="11627" width="9" style="12" customWidth="1"/>
    <col min="11628" max="11628" width="60.28515625" style="12" customWidth="1"/>
    <col min="11629" max="11629" width="15.7109375" style="12" bestFit="1" customWidth="1"/>
    <col min="11630" max="11630" width="14.140625" style="12" bestFit="1" customWidth="1"/>
    <col min="11631" max="11631" width="14.140625" style="12" customWidth="1"/>
    <col min="11632" max="11632" width="14.140625" style="12" bestFit="1" customWidth="1"/>
    <col min="11633" max="11634" width="13.140625" style="12" bestFit="1" customWidth="1"/>
    <col min="11635" max="11635" width="14" style="12" customWidth="1"/>
    <col min="11636" max="11636" width="13.140625" style="12" customWidth="1"/>
    <col min="11637" max="11637" width="16.42578125" style="12" customWidth="1"/>
    <col min="11638" max="11638" width="18.5703125" style="12" customWidth="1"/>
    <col min="11639" max="11639" width="8.140625" style="12" bestFit="1" customWidth="1"/>
    <col min="11640" max="11882" width="58.28515625" style="12"/>
    <col min="11883" max="11883" width="9" style="12" customWidth="1"/>
    <col min="11884" max="11884" width="60.28515625" style="12" customWidth="1"/>
    <col min="11885" max="11885" width="15.7109375" style="12" bestFit="1" customWidth="1"/>
    <col min="11886" max="11886" width="14.140625" style="12" bestFit="1" customWidth="1"/>
    <col min="11887" max="11887" width="14.140625" style="12" customWidth="1"/>
    <col min="11888" max="11888" width="14.140625" style="12" bestFit="1" customWidth="1"/>
    <col min="11889" max="11890" width="13.140625" style="12" bestFit="1" customWidth="1"/>
    <col min="11891" max="11891" width="14" style="12" customWidth="1"/>
    <col min="11892" max="11892" width="13.140625" style="12" customWidth="1"/>
    <col min="11893" max="11893" width="16.42578125" style="12" customWidth="1"/>
    <col min="11894" max="11894" width="18.5703125" style="12" customWidth="1"/>
    <col min="11895" max="11895" width="8.140625" style="12" bestFit="1" customWidth="1"/>
    <col min="11896" max="12138" width="58.28515625" style="12"/>
    <col min="12139" max="12139" width="9" style="12" customWidth="1"/>
    <col min="12140" max="12140" width="60.28515625" style="12" customWidth="1"/>
    <col min="12141" max="12141" width="15.7109375" style="12" bestFit="1" customWidth="1"/>
    <col min="12142" max="12142" width="14.140625" style="12" bestFit="1" customWidth="1"/>
    <col min="12143" max="12143" width="14.140625" style="12" customWidth="1"/>
    <col min="12144" max="12144" width="14.140625" style="12" bestFit="1" customWidth="1"/>
    <col min="12145" max="12146" width="13.140625" style="12" bestFit="1" customWidth="1"/>
    <col min="12147" max="12147" width="14" style="12" customWidth="1"/>
    <col min="12148" max="12148" width="13.140625" style="12" customWidth="1"/>
    <col min="12149" max="12149" width="16.42578125" style="12" customWidth="1"/>
    <col min="12150" max="12150" width="18.5703125" style="12" customWidth="1"/>
    <col min="12151" max="12151" width="8.140625" style="12" bestFit="1" customWidth="1"/>
    <col min="12152" max="12394" width="58.28515625" style="12"/>
    <col min="12395" max="12395" width="9" style="12" customWidth="1"/>
    <col min="12396" max="12396" width="60.28515625" style="12" customWidth="1"/>
    <col min="12397" max="12397" width="15.7109375" style="12" bestFit="1" customWidth="1"/>
    <col min="12398" max="12398" width="14.140625" style="12" bestFit="1" customWidth="1"/>
    <col min="12399" max="12399" width="14.140625" style="12" customWidth="1"/>
    <col min="12400" max="12400" width="14.140625" style="12" bestFit="1" customWidth="1"/>
    <col min="12401" max="12402" width="13.140625" style="12" bestFit="1" customWidth="1"/>
    <col min="12403" max="12403" width="14" style="12" customWidth="1"/>
    <col min="12404" max="12404" width="13.140625" style="12" customWidth="1"/>
    <col min="12405" max="12405" width="16.42578125" style="12" customWidth="1"/>
    <col min="12406" max="12406" width="18.5703125" style="12" customWidth="1"/>
    <col min="12407" max="12407" width="8.140625" style="12" bestFit="1" customWidth="1"/>
    <col min="12408" max="12650" width="58.28515625" style="12"/>
    <col min="12651" max="12651" width="9" style="12" customWidth="1"/>
    <col min="12652" max="12652" width="60.28515625" style="12" customWidth="1"/>
    <col min="12653" max="12653" width="15.7109375" style="12" bestFit="1" customWidth="1"/>
    <col min="12654" max="12654" width="14.140625" style="12" bestFit="1" customWidth="1"/>
    <col min="12655" max="12655" width="14.140625" style="12" customWidth="1"/>
    <col min="12656" max="12656" width="14.140625" style="12" bestFit="1" customWidth="1"/>
    <col min="12657" max="12658" width="13.140625" style="12" bestFit="1" customWidth="1"/>
    <col min="12659" max="12659" width="14" style="12" customWidth="1"/>
    <col min="12660" max="12660" width="13.140625" style="12" customWidth="1"/>
    <col min="12661" max="12661" width="16.42578125" style="12" customWidth="1"/>
    <col min="12662" max="12662" width="18.5703125" style="12" customWidth="1"/>
    <col min="12663" max="12663" width="8.140625" style="12" bestFit="1" customWidth="1"/>
    <col min="12664" max="12906" width="58.28515625" style="12"/>
    <col min="12907" max="12907" width="9" style="12" customWidth="1"/>
    <col min="12908" max="12908" width="60.28515625" style="12" customWidth="1"/>
    <col min="12909" max="12909" width="15.7109375" style="12" bestFit="1" customWidth="1"/>
    <col min="12910" max="12910" width="14.140625" style="12" bestFit="1" customWidth="1"/>
    <col min="12911" max="12911" width="14.140625" style="12" customWidth="1"/>
    <col min="12912" max="12912" width="14.140625" style="12" bestFit="1" customWidth="1"/>
    <col min="12913" max="12914" width="13.140625" style="12" bestFit="1" customWidth="1"/>
    <col min="12915" max="12915" width="14" style="12" customWidth="1"/>
    <col min="12916" max="12916" width="13.140625" style="12" customWidth="1"/>
    <col min="12917" max="12917" width="16.42578125" style="12" customWidth="1"/>
    <col min="12918" max="12918" width="18.5703125" style="12" customWidth="1"/>
    <col min="12919" max="12919" width="8.140625" style="12" bestFit="1" customWidth="1"/>
    <col min="12920" max="13162" width="58.28515625" style="12"/>
    <col min="13163" max="13163" width="9" style="12" customWidth="1"/>
    <col min="13164" max="13164" width="60.28515625" style="12" customWidth="1"/>
    <col min="13165" max="13165" width="15.7109375" style="12" bestFit="1" customWidth="1"/>
    <col min="13166" max="13166" width="14.140625" style="12" bestFit="1" customWidth="1"/>
    <col min="13167" max="13167" width="14.140625" style="12" customWidth="1"/>
    <col min="13168" max="13168" width="14.140625" style="12" bestFit="1" customWidth="1"/>
    <col min="13169" max="13170" width="13.140625" style="12" bestFit="1" customWidth="1"/>
    <col min="13171" max="13171" width="14" style="12" customWidth="1"/>
    <col min="13172" max="13172" width="13.140625" style="12" customWidth="1"/>
    <col min="13173" max="13173" width="16.42578125" style="12" customWidth="1"/>
    <col min="13174" max="13174" width="18.5703125" style="12" customWidth="1"/>
    <col min="13175" max="13175" width="8.140625" style="12" bestFit="1" customWidth="1"/>
    <col min="13176" max="13418" width="58.28515625" style="12"/>
    <col min="13419" max="13419" width="9" style="12" customWidth="1"/>
    <col min="13420" max="13420" width="60.28515625" style="12" customWidth="1"/>
    <col min="13421" max="13421" width="15.7109375" style="12" bestFit="1" customWidth="1"/>
    <col min="13422" max="13422" width="14.140625" style="12" bestFit="1" customWidth="1"/>
    <col min="13423" max="13423" width="14.140625" style="12" customWidth="1"/>
    <col min="13424" max="13424" width="14.140625" style="12" bestFit="1" customWidth="1"/>
    <col min="13425" max="13426" width="13.140625" style="12" bestFit="1" customWidth="1"/>
    <col min="13427" max="13427" width="14" style="12" customWidth="1"/>
    <col min="13428" max="13428" width="13.140625" style="12" customWidth="1"/>
    <col min="13429" max="13429" width="16.42578125" style="12" customWidth="1"/>
    <col min="13430" max="13430" width="18.5703125" style="12" customWidth="1"/>
    <col min="13431" max="13431" width="8.140625" style="12" bestFit="1" customWidth="1"/>
    <col min="13432" max="13674" width="58.28515625" style="12"/>
    <col min="13675" max="13675" width="9" style="12" customWidth="1"/>
    <col min="13676" max="13676" width="60.28515625" style="12" customWidth="1"/>
    <col min="13677" max="13677" width="15.7109375" style="12" bestFit="1" customWidth="1"/>
    <col min="13678" max="13678" width="14.140625" style="12" bestFit="1" customWidth="1"/>
    <col min="13679" max="13679" width="14.140625" style="12" customWidth="1"/>
    <col min="13680" max="13680" width="14.140625" style="12" bestFit="1" customWidth="1"/>
    <col min="13681" max="13682" width="13.140625" style="12" bestFit="1" customWidth="1"/>
    <col min="13683" max="13683" width="14" style="12" customWidth="1"/>
    <col min="13684" max="13684" width="13.140625" style="12" customWidth="1"/>
    <col min="13685" max="13685" width="16.42578125" style="12" customWidth="1"/>
    <col min="13686" max="13686" width="18.5703125" style="12" customWidth="1"/>
    <col min="13687" max="13687" width="8.140625" style="12" bestFit="1" customWidth="1"/>
    <col min="13688" max="13930" width="58.28515625" style="12"/>
    <col min="13931" max="13931" width="9" style="12" customWidth="1"/>
    <col min="13932" max="13932" width="60.28515625" style="12" customWidth="1"/>
    <col min="13933" max="13933" width="15.7109375" style="12" bestFit="1" customWidth="1"/>
    <col min="13934" max="13934" width="14.140625" style="12" bestFit="1" customWidth="1"/>
    <col min="13935" max="13935" width="14.140625" style="12" customWidth="1"/>
    <col min="13936" max="13936" width="14.140625" style="12" bestFit="1" customWidth="1"/>
    <col min="13937" max="13938" width="13.140625" style="12" bestFit="1" customWidth="1"/>
    <col min="13939" max="13939" width="14" style="12" customWidth="1"/>
    <col min="13940" max="13940" width="13.140625" style="12" customWidth="1"/>
    <col min="13941" max="13941" width="16.42578125" style="12" customWidth="1"/>
    <col min="13942" max="13942" width="18.5703125" style="12" customWidth="1"/>
    <col min="13943" max="13943" width="8.140625" style="12" bestFit="1" customWidth="1"/>
    <col min="13944" max="14186" width="58.28515625" style="12"/>
    <col min="14187" max="14187" width="9" style="12" customWidth="1"/>
    <col min="14188" max="14188" width="60.28515625" style="12" customWidth="1"/>
    <col min="14189" max="14189" width="15.7109375" style="12" bestFit="1" customWidth="1"/>
    <col min="14190" max="14190" width="14.140625" style="12" bestFit="1" customWidth="1"/>
    <col min="14191" max="14191" width="14.140625" style="12" customWidth="1"/>
    <col min="14192" max="14192" width="14.140625" style="12" bestFit="1" customWidth="1"/>
    <col min="14193" max="14194" width="13.140625" style="12" bestFit="1" customWidth="1"/>
    <col min="14195" max="14195" width="14" style="12" customWidth="1"/>
    <col min="14196" max="14196" width="13.140625" style="12" customWidth="1"/>
    <col min="14197" max="14197" width="16.42578125" style="12" customWidth="1"/>
    <col min="14198" max="14198" width="18.5703125" style="12" customWidth="1"/>
    <col min="14199" max="14199" width="8.140625" style="12" bestFit="1" customWidth="1"/>
    <col min="14200" max="14442" width="58.28515625" style="12"/>
    <col min="14443" max="14443" width="9" style="12" customWidth="1"/>
    <col min="14444" max="14444" width="60.28515625" style="12" customWidth="1"/>
    <col min="14445" max="14445" width="15.7109375" style="12" bestFit="1" customWidth="1"/>
    <col min="14446" max="14446" width="14.140625" style="12" bestFit="1" customWidth="1"/>
    <col min="14447" max="14447" width="14.140625" style="12" customWidth="1"/>
    <col min="14448" max="14448" width="14.140625" style="12" bestFit="1" customWidth="1"/>
    <col min="14449" max="14450" width="13.140625" style="12" bestFit="1" customWidth="1"/>
    <col min="14451" max="14451" width="14" style="12" customWidth="1"/>
    <col min="14452" max="14452" width="13.140625" style="12" customWidth="1"/>
    <col min="14453" max="14453" width="16.42578125" style="12" customWidth="1"/>
    <col min="14454" max="14454" width="18.5703125" style="12" customWidth="1"/>
    <col min="14455" max="14455" width="8.140625" style="12" bestFit="1" customWidth="1"/>
    <col min="14456" max="14698" width="58.28515625" style="12"/>
    <col min="14699" max="14699" width="9" style="12" customWidth="1"/>
    <col min="14700" max="14700" width="60.28515625" style="12" customWidth="1"/>
    <col min="14701" max="14701" width="15.7109375" style="12" bestFit="1" customWidth="1"/>
    <col min="14702" max="14702" width="14.140625" style="12" bestFit="1" customWidth="1"/>
    <col min="14703" max="14703" width="14.140625" style="12" customWidth="1"/>
    <col min="14704" max="14704" width="14.140625" style="12" bestFit="1" customWidth="1"/>
    <col min="14705" max="14706" width="13.140625" style="12" bestFit="1" customWidth="1"/>
    <col min="14707" max="14707" width="14" style="12" customWidth="1"/>
    <col min="14708" max="14708" width="13.140625" style="12" customWidth="1"/>
    <col min="14709" max="14709" width="16.42578125" style="12" customWidth="1"/>
    <col min="14710" max="14710" width="18.5703125" style="12" customWidth="1"/>
    <col min="14711" max="14711" width="8.140625" style="12" bestFit="1" customWidth="1"/>
    <col min="14712" max="14954" width="58.28515625" style="12"/>
    <col min="14955" max="14955" width="9" style="12" customWidth="1"/>
    <col min="14956" max="14956" width="60.28515625" style="12" customWidth="1"/>
    <col min="14957" max="14957" width="15.7109375" style="12" bestFit="1" customWidth="1"/>
    <col min="14958" max="14958" width="14.140625" style="12" bestFit="1" customWidth="1"/>
    <col min="14959" max="14959" width="14.140625" style="12" customWidth="1"/>
    <col min="14960" max="14960" width="14.140625" style="12" bestFit="1" customWidth="1"/>
    <col min="14961" max="14962" width="13.140625" style="12" bestFit="1" customWidth="1"/>
    <col min="14963" max="14963" width="14" style="12" customWidth="1"/>
    <col min="14964" max="14964" width="13.140625" style="12" customWidth="1"/>
    <col min="14965" max="14965" width="16.42578125" style="12" customWidth="1"/>
    <col min="14966" max="14966" width="18.5703125" style="12" customWidth="1"/>
    <col min="14967" max="14967" width="8.140625" style="12" bestFit="1" customWidth="1"/>
    <col min="14968" max="15210" width="58.28515625" style="12"/>
    <col min="15211" max="15211" width="9" style="12" customWidth="1"/>
    <col min="15212" max="15212" width="60.28515625" style="12" customWidth="1"/>
    <col min="15213" max="15213" width="15.7109375" style="12" bestFit="1" customWidth="1"/>
    <col min="15214" max="15214" width="14.140625" style="12" bestFit="1" customWidth="1"/>
    <col min="15215" max="15215" width="14.140625" style="12" customWidth="1"/>
    <col min="15216" max="15216" width="14.140625" style="12" bestFit="1" customWidth="1"/>
    <col min="15217" max="15218" width="13.140625" style="12" bestFit="1" customWidth="1"/>
    <col min="15219" max="15219" width="14" style="12" customWidth="1"/>
    <col min="15220" max="15220" width="13.140625" style="12" customWidth="1"/>
    <col min="15221" max="15221" width="16.42578125" style="12" customWidth="1"/>
    <col min="15222" max="15222" width="18.5703125" style="12" customWidth="1"/>
    <col min="15223" max="15223" width="8.140625" style="12" bestFit="1" customWidth="1"/>
    <col min="15224" max="15466" width="58.28515625" style="12"/>
    <col min="15467" max="15467" width="9" style="12" customWidth="1"/>
    <col min="15468" max="15468" width="60.28515625" style="12" customWidth="1"/>
    <col min="15469" max="15469" width="15.7109375" style="12" bestFit="1" customWidth="1"/>
    <col min="15470" max="15470" width="14.140625" style="12" bestFit="1" customWidth="1"/>
    <col min="15471" max="15471" width="14.140625" style="12" customWidth="1"/>
    <col min="15472" max="15472" width="14.140625" style="12" bestFit="1" customWidth="1"/>
    <col min="15473" max="15474" width="13.140625" style="12" bestFit="1" customWidth="1"/>
    <col min="15475" max="15475" width="14" style="12" customWidth="1"/>
    <col min="15476" max="15476" width="13.140625" style="12" customWidth="1"/>
    <col min="15477" max="15477" width="16.42578125" style="12" customWidth="1"/>
    <col min="15478" max="15478" width="18.5703125" style="12" customWidth="1"/>
    <col min="15479" max="15479" width="8.140625" style="12" bestFit="1" customWidth="1"/>
    <col min="15480" max="15722" width="58.28515625" style="12"/>
    <col min="15723" max="15723" width="9" style="12" customWidth="1"/>
    <col min="15724" max="15724" width="60.28515625" style="12" customWidth="1"/>
    <col min="15725" max="15725" width="15.7109375" style="12" bestFit="1" customWidth="1"/>
    <col min="15726" max="15726" width="14.140625" style="12" bestFit="1" customWidth="1"/>
    <col min="15727" max="15727" width="14.140625" style="12" customWidth="1"/>
    <col min="15728" max="15728" width="14.140625" style="12" bestFit="1" customWidth="1"/>
    <col min="15729" max="15730" width="13.140625" style="12" bestFit="1" customWidth="1"/>
    <col min="15731" max="15731" width="14" style="12" customWidth="1"/>
    <col min="15732" max="15732" width="13.140625" style="12" customWidth="1"/>
    <col min="15733" max="15733" width="16.42578125" style="12" customWidth="1"/>
    <col min="15734" max="15734" width="18.5703125" style="12" customWidth="1"/>
    <col min="15735" max="15735" width="8.140625" style="12" bestFit="1" customWidth="1"/>
    <col min="15736" max="15978" width="58.28515625" style="12"/>
    <col min="15979" max="15979" width="9" style="12" customWidth="1"/>
    <col min="15980" max="15980" width="60.28515625" style="12" customWidth="1"/>
    <col min="15981" max="15981" width="15.7109375" style="12" bestFit="1" customWidth="1"/>
    <col min="15982" max="15982" width="14.140625" style="12" bestFit="1" customWidth="1"/>
    <col min="15983" max="15983" width="14.140625" style="12" customWidth="1"/>
    <col min="15984" max="15984" width="14.140625" style="12" bestFit="1" customWidth="1"/>
    <col min="15985" max="15986" width="13.140625" style="12" bestFit="1" customWidth="1"/>
    <col min="15987" max="15987" width="14" style="12" customWidth="1"/>
    <col min="15988" max="15988" width="13.140625" style="12" customWidth="1"/>
    <col min="15989" max="15989" width="16.42578125" style="12" customWidth="1"/>
    <col min="15990" max="15990" width="18.5703125" style="12" customWidth="1"/>
    <col min="15991" max="15991" width="8.140625" style="12" bestFit="1" customWidth="1"/>
    <col min="15992" max="16384" width="58.28515625" style="12"/>
  </cols>
  <sheetData>
    <row r="1" spans="1:11" x14ac:dyDescent="0.25">
      <c r="H1" s="13"/>
      <c r="I1" s="76" t="s">
        <v>64</v>
      </c>
      <c r="J1" s="76"/>
      <c r="K1" s="76"/>
    </row>
    <row r="2" spans="1:11" x14ac:dyDescent="0.25">
      <c r="H2" s="76" t="s">
        <v>59</v>
      </c>
      <c r="I2" s="76"/>
      <c r="J2" s="76"/>
      <c r="K2" s="76"/>
    </row>
    <row r="3" spans="1:11" x14ac:dyDescent="0.25">
      <c r="H3" s="13"/>
      <c r="I3" s="76" t="s">
        <v>66</v>
      </c>
      <c r="J3" s="76"/>
      <c r="K3" s="76"/>
    </row>
    <row r="5" spans="1:11" x14ac:dyDescent="0.25">
      <c r="A5" s="77" t="s">
        <v>67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ht="16.5" thickBot="1" x14ac:dyDescent="0.3">
      <c r="B6" s="63"/>
      <c r="D6" s="13"/>
      <c r="E6" s="13"/>
      <c r="F6" s="13"/>
      <c r="G6" s="13"/>
      <c r="H6" s="13"/>
      <c r="I6" s="14"/>
      <c r="J6" s="13"/>
      <c r="K6" s="13" t="s">
        <v>0</v>
      </c>
    </row>
    <row r="7" spans="1:11" s="1" customFormat="1" ht="32.25" thickBot="1" x14ac:dyDescent="0.3">
      <c r="A7" s="7" t="s">
        <v>1</v>
      </c>
      <c r="B7" s="3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5" t="s">
        <v>11</v>
      </c>
    </row>
    <row r="8" spans="1:11" s="1" customFormat="1" ht="16.5" thickBot="1" x14ac:dyDescent="0.3">
      <c r="A8" s="31">
        <v>1000000</v>
      </c>
      <c r="B8" s="33" t="s">
        <v>12</v>
      </c>
      <c r="C8" s="68">
        <f>SUM(C9+C20+C26+C35+C38)</f>
        <v>816528278</v>
      </c>
      <c r="D8" s="34">
        <f t="shared" ref="D8:J8" si="0">SUM(D9+D20+D26+D35+D38)</f>
        <v>203034576</v>
      </c>
      <c r="E8" s="34">
        <f t="shared" si="0"/>
        <v>49334693</v>
      </c>
      <c r="F8" s="34">
        <f t="shared" si="0"/>
        <v>44808073</v>
      </c>
      <c r="G8" s="34">
        <f t="shared" si="0"/>
        <v>17233837</v>
      </c>
      <c r="H8" s="34">
        <f t="shared" si="0"/>
        <v>17717373</v>
      </c>
      <c r="I8" s="34">
        <f t="shared" si="0"/>
        <v>15496325</v>
      </c>
      <c r="J8" s="34">
        <f t="shared" si="0"/>
        <v>4774931</v>
      </c>
      <c r="K8" s="70">
        <f>SUM(C8:J8)</f>
        <v>1168928086</v>
      </c>
    </row>
    <row r="9" spans="1:11" s="1" customFormat="1" x14ac:dyDescent="0.25">
      <c r="A9" s="15">
        <v>1010000</v>
      </c>
      <c r="B9" s="32" t="s">
        <v>13</v>
      </c>
      <c r="C9" s="36">
        <f>SUM(C10+C11+C13+C14+C15+C16+C17+C18)</f>
        <v>406795660</v>
      </c>
      <c r="D9" s="36">
        <f t="shared" ref="D9:J9" si="1">SUM(D10+D11+D13+D14+D15+D16+D17+D18)</f>
        <v>199484720</v>
      </c>
      <c r="E9" s="36">
        <f t="shared" si="1"/>
        <v>29706655</v>
      </c>
      <c r="F9" s="36">
        <f t="shared" si="1"/>
        <v>22238261</v>
      </c>
      <c r="G9" s="36">
        <f t="shared" si="1"/>
        <v>6342941</v>
      </c>
      <c r="H9" s="36">
        <f t="shared" si="1"/>
        <v>9844732</v>
      </c>
      <c r="I9" s="36">
        <f t="shared" si="1"/>
        <v>5227252</v>
      </c>
      <c r="J9" s="36">
        <f t="shared" si="1"/>
        <v>3235259</v>
      </c>
      <c r="K9" s="37">
        <f t="shared" ref="K9:K72" si="2">SUM(C9:J9)</f>
        <v>682875480</v>
      </c>
    </row>
    <row r="10" spans="1:11" s="1" customFormat="1" x14ac:dyDescent="0.25">
      <c r="A10" s="8">
        <v>1010100</v>
      </c>
      <c r="B10" s="10" t="s">
        <v>14</v>
      </c>
      <c r="C10" s="38"/>
      <c r="D10" s="38"/>
      <c r="E10" s="38"/>
      <c r="F10" s="38"/>
      <c r="G10" s="38"/>
      <c r="H10" s="38"/>
      <c r="I10" s="38"/>
      <c r="J10" s="38"/>
      <c r="K10" s="39"/>
    </row>
    <row r="11" spans="1:11" s="1" customFormat="1" ht="31.5" x14ac:dyDescent="0.25">
      <c r="A11" s="8">
        <v>1010200</v>
      </c>
      <c r="B11" s="10" t="s">
        <v>15</v>
      </c>
      <c r="C11" s="38">
        <v>250746157</v>
      </c>
      <c r="D11" s="38">
        <v>177829314</v>
      </c>
      <c r="E11" s="38">
        <v>20051441</v>
      </c>
      <c r="F11" s="38">
        <f>37758282-23318021</f>
        <v>14440261</v>
      </c>
      <c r="G11" s="38">
        <v>3764440</v>
      </c>
      <c r="H11" s="38">
        <v>6689576</v>
      </c>
      <c r="I11" s="38">
        <v>2604725</v>
      </c>
      <c r="J11" s="38">
        <v>1636789</v>
      </c>
      <c r="K11" s="39">
        <f t="shared" si="2"/>
        <v>477762703</v>
      </c>
    </row>
    <row r="12" spans="1:11" s="1" customFormat="1" ht="31.5" x14ac:dyDescent="0.25">
      <c r="A12" s="17">
        <v>1010290</v>
      </c>
      <c r="B12" s="18" t="s">
        <v>16</v>
      </c>
      <c r="C12" s="40">
        <v>125816420</v>
      </c>
      <c r="D12" s="40">
        <v>40540877</v>
      </c>
      <c r="E12" s="40">
        <v>20051441</v>
      </c>
      <c r="F12" s="40">
        <f>19380507-7785125</f>
        <v>11595382</v>
      </c>
      <c r="G12" s="40">
        <v>3764440</v>
      </c>
      <c r="H12" s="40">
        <v>6689576</v>
      </c>
      <c r="I12" s="40">
        <v>2604725</v>
      </c>
      <c r="J12" s="40">
        <v>1636789</v>
      </c>
      <c r="K12" s="41">
        <f t="shared" si="2"/>
        <v>212699650</v>
      </c>
    </row>
    <row r="13" spans="1:11" s="1" customFormat="1" x14ac:dyDescent="0.25">
      <c r="A13" s="8">
        <v>1010400</v>
      </c>
      <c r="B13" s="10" t="s">
        <v>17</v>
      </c>
      <c r="C13" s="38">
        <v>3845400</v>
      </c>
      <c r="D13" s="38">
        <v>0</v>
      </c>
      <c r="E13" s="38">
        <v>2035800</v>
      </c>
      <c r="F13" s="38">
        <v>765600</v>
      </c>
      <c r="G13" s="38">
        <v>870000</v>
      </c>
      <c r="H13" s="38">
        <v>243600</v>
      </c>
      <c r="I13" s="38">
        <v>382800</v>
      </c>
      <c r="J13" s="38">
        <v>452400</v>
      </c>
      <c r="K13" s="39">
        <f t="shared" si="2"/>
        <v>8595600</v>
      </c>
    </row>
    <row r="14" spans="1:11" s="1" customFormat="1" ht="63" x14ac:dyDescent="0.25">
      <c r="A14" s="8">
        <v>1010600</v>
      </c>
      <c r="B14" s="10" t="s">
        <v>18</v>
      </c>
      <c r="C14" s="38">
        <f>0+445821+4108401</f>
        <v>4554222</v>
      </c>
      <c r="D14" s="38">
        <f>0+162076</f>
        <v>162076</v>
      </c>
      <c r="E14" s="38"/>
      <c r="F14" s="38">
        <f>0+119961</f>
        <v>119961</v>
      </c>
      <c r="G14" s="38"/>
      <c r="H14" s="38"/>
      <c r="I14" s="38"/>
      <c r="J14" s="38"/>
      <c r="K14" s="39">
        <f t="shared" si="2"/>
        <v>4836259</v>
      </c>
    </row>
    <row r="15" spans="1:11" s="1" customFormat="1" ht="47.25" x14ac:dyDescent="0.25">
      <c r="A15" s="8">
        <v>1010601</v>
      </c>
      <c r="B15" s="10" t="s">
        <v>19</v>
      </c>
      <c r="C15" s="38">
        <f>0+3211290</f>
        <v>3211290</v>
      </c>
      <c r="D15" s="38">
        <f>0+75612</f>
        <v>75612</v>
      </c>
      <c r="E15" s="38"/>
      <c r="F15" s="38">
        <f>0+399840</f>
        <v>399840</v>
      </c>
      <c r="G15" s="38"/>
      <c r="H15" s="38"/>
      <c r="I15" s="38"/>
      <c r="J15" s="38"/>
      <c r="K15" s="39">
        <f t="shared" si="2"/>
        <v>3686742</v>
      </c>
    </row>
    <row r="16" spans="1:11" s="1" customFormat="1" x14ac:dyDescent="0.25">
      <c r="A16" s="8">
        <v>1010700</v>
      </c>
      <c r="B16" s="10" t="s">
        <v>20</v>
      </c>
      <c r="C16" s="38">
        <f>110034816-67017+6235040-5031797</f>
        <v>111171042</v>
      </c>
      <c r="D16" s="38">
        <f>20748965-1473854-205723</f>
        <v>19069388</v>
      </c>
      <c r="E16" s="38">
        <v>0</v>
      </c>
      <c r="F16" s="38">
        <f>3677792-1585903-1759717</f>
        <v>332172</v>
      </c>
      <c r="G16" s="38"/>
      <c r="H16" s="38"/>
      <c r="I16" s="38"/>
      <c r="J16" s="38"/>
      <c r="K16" s="39">
        <f t="shared" si="2"/>
        <v>130572602</v>
      </c>
    </row>
    <row r="17" spans="1:11" s="1" customFormat="1" ht="94.5" x14ac:dyDescent="0.25">
      <c r="A17" s="8">
        <v>1010800</v>
      </c>
      <c r="B17" s="65" t="s">
        <v>63</v>
      </c>
      <c r="C17" s="38">
        <f>24544517+1167469</f>
        <v>25711986</v>
      </c>
      <c r="D17" s="38">
        <f>2163484+87401</f>
        <v>2250885</v>
      </c>
      <c r="E17" s="38">
        <f>5450794+615876</f>
        <v>6066670</v>
      </c>
      <c r="F17" s="38">
        <f>5186097+463698</f>
        <v>5649795</v>
      </c>
      <c r="G17" s="38">
        <f>1353288+204075</f>
        <v>1557363</v>
      </c>
      <c r="H17" s="38">
        <f>2091310+332979</f>
        <v>2424289</v>
      </c>
      <c r="I17" s="38">
        <f>1677436+201660</f>
        <v>1879096</v>
      </c>
      <c r="J17" s="38">
        <f>774751+138149</f>
        <v>912900</v>
      </c>
      <c r="K17" s="39">
        <f t="shared" ref="K17:K18" si="3">SUM(C17:J17)</f>
        <v>46452984</v>
      </c>
    </row>
    <row r="18" spans="1:11" s="62" customFormat="1" ht="47.25" x14ac:dyDescent="0.25">
      <c r="A18" s="66">
        <v>1010900</v>
      </c>
      <c r="B18" s="67" t="s">
        <v>65</v>
      </c>
      <c r="C18" s="54">
        <f>0+7555563</f>
        <v>7555563</v>
      </c>
      <c r="D18" s="54">
        <f>0+97445</f>
        <v>97445</v>
      </c>
      <c r="E18" s="54">
        <f>0+1552744</f>
        <v>1552744</v>
      </c>
      <c r="F18" s="54">
        <f>0+530632</f>
        <v>530632</v>
      </c>
      <c r="G18" s="54">
        <f>0+151138</f>
        <v>151138</v>
      </c>
      <c r="H18" s="54">
        <f>0+487267</f>
        <v>487267</v>
      </c>
      <c r="I18" s="54">
        <f>0+360631</f>
        <v>360631</v>
      </c>
      <c r="J18" s="54">
        <f>0+233170</f>
        <v>233170</v>
      </c>
      <c r="K18" s="56">
        <f t="shared" si="3"/>
        <v>10968590</v>
      </c>
    </row>
    <row r="19" spans="1:11" s="1" customFormat="1" x14ac:dyDescent="0.25">
      <c r="A19" s="17"/>
      <c r="B19" s="10"/>
      <c r="C19" s="38"/>
      <c r="D19" s="38"/>
      <c r="E19" s="38"/>
      <c r="F19" s="38"/>
      <c r="G19" s="38"/>
      <c r="H19" s="38"/>
      <c r="I19" s="38"/>
      <c r="J19" s="38"/>
      <c r="K19" s="39"/>
    </row>
    <row r="20" spans="1:11" s="2" customFormat="1" ht="31.5" x14ac:dyDescent="0.25">
      <c r="A20" s="8">
        <v>1020000</v>
      </c>
      <c r="B20" s="10" t="s">
        <v>21</v>
      </c>
      <c r="C20" s="38">
        <f t="shared" ref="C20:J20" si="4">SUM(C21:C24)</f>
        <v>28982011</v>
      </c>
      <c r="D20" s="38">
        <f t="shared" si="4"/>
        <v>137629</v>
      </c>
      <c r="E20" s="38">
        <f t="shared" si="4"/>
        <v>10685832</v>
      </c>
      <c r="F20" s="38">
        <f t="shared" si="4"/>
        <v>560366</v>
      </c>
      <c r="G20" s="38">
        <f t="shared" si="4"/>
        <v>4501596</v>
      </c>
      <c r="H20" s="38">
        <f t="shared" si="4"/>
        <v>124866</v>
      </c>
      <c r="I20" s="38">
        <f t="shared" si="4"/>
        <v>29232</v>
      </c>
      <c r="J20" s="38">
        <f t="shared" si="4"/>
        <v>140225</v>
      </c>
      <c r="K20" s="39">
        <f t="shared" si="2"/>
        <v>45161757</v>
      </c>
    </row>
    <row r="21" spans="1:11" s="1" customFormat="1" x14ac:dyDescent="0.25">
      <c r="A21" s="8">
        <v>1020100</v>
      </c>
      <c r="B21" s="10" t="s">
        <v>22</v>
      </c>
      <c r="C21" s="38"/>
      <c r="D21" s="38"/>
      <c r="E21" s="38"/>
      <c r="F21" s="38"/>
      <c r="G21" s="38"/>
      <c r="H21" s="38"/>
      <c r="I21" s="38"/>
      <c r="J21" s="38"/>
      <c r="K21" s="39">
        <f t="shared" si="2"/>
        <v>0</v>
      </c>
    </row>
    <row r="22" spans="1:11" s="1" customFormat="1" ht="31.5" x14ac:dyDescent="0.25">
      <c r="A22" s="8">
        <v>1020200</v>
      </c>
      <c r="B22" s="10" t="s">
        <v>23</v>
      </c>
      <c r="C22" s="38">
        <v>27878572</v>
      </c>
      <c r="D22" s="38">
        <v>0</v>
      </c>
      <c r="E22" s="38">
        <v>10297497</v>
      </c>
      <c r="F22" s="38">
        <v>263746</v>
      </c>
      <c r="G22" s="38">
        <v>4470972</v>
      </c>
      <c r="H22" s="38">
        <v>23100</v>
      </c>
      <c r="I22" s="38">
        <v>0</v>
      </c>
      <c r="J22" s="38">
        <v>106817</v>
      </c>
      <c r="K22" s="39">
        <f t="shared" si="2"/>
        <v>43040704</v>
      </c>
    </row>
    <row r="23" spans="1:11" s="2" customFormat="1" ht="31.5" x14ac:dyDescent="0.25">
      <c r="A23" s="8">
        <v>1020400</v>
      </c>
      <c r="B23" s="16" t="s">
        <v>24</v>
      </c>
      <c r="C23" s="38"/>
      <c r="D23" s="38"/>
      <c r="E23" s="38"/>
      <c r="F23" s="38"/>
      <c r="G23" s="38"/>
      <c r="H23" s="38"/>
      <c r="I23" s="38"/>
      <c r="J23" s="38"/>
      <c r="K23" s="39">
        <f t="shared" si="2"/>
        <v>0</v>
      </c>
    </row>
    <row r="24" spans="1:11" s="1" customFormat="1" x14ac:dyDescent="0.25">
      <c r="A24" s="8">
        <v>1020500</v>
      </c>
      <c r="B24" s="10" t="s">
        <v>25</v>
      </c>
      <c r="C24" s="38">
        <v>1103439</v>
      </c>
      <c r="D24" s="38">
        <v>137629</v>
      </c>
      <c r="E24" s="38">
        <v>388335</v>
      </c>
      <c r="F24" s="38">
        <v>296620</v>
      </c>
      <c r="G24" s="38">
        <v>30624</v>
      </c>
      <c r="H24" s="38">
        <v>101766</v>
      </c>
      <c r="I24" s="38">
        <v>29232</v>
      </c>
      <c r="J24" s="38">
        <v>33408</v>
      </c>
      <c r="K24" s="39">
        <f t="shared" si="2"/>
        <v>2121053</v>
      </c>
    </row>
    <row r="25" spans="1:11" s="1" customFormat="1" x14ac:dyDescent="0.25">
      <c r="A25" s="8"/>
      <c r="B25" s="10"/>
      <c r="C25" s="38"/>
      <c r="D25" s="38"/>
      <c r="E25" s="38"/>
      <c r="F25" s="38"/>
      <c r="G25" s="38"/>
      <c r="H25" s="38"/>
      <c r="I25" s="38"/>
      <c r="J25" s="38"/>
      <c r="K25" s="39"/>
    </row>
    <row r="26" spans="1:11" s="1" customFormat="1" ht="31.5" x14ac:dyDescent="0.25">
      <c r="A26" s="8">
        <v>1050000</v>
      </c>
      <c r="B26" s="10" t="s">
        <v>26</v>
      </c>
      <c r="C26" s="38">
        <f>7107521-1618328</f>
        <v>5489193</v>
      </c>
      <c r="D26" s="38">
        <v>3151006</v>
      </c>
      <c r="E26" s="38">
        <f>1960030-4313</f>
        <v>1955717</v>
      </c>
      <c r="F26" s="38">
        <v>16050430</v>
      </c>
      <c r="G26" s="38">
        <v>2228198</v>
      </c>
      <c r="H26" s="38">
        <v>3724018</v>
      </c>
      <c r="I26" s="38">
        <v>8088516</v>
      </c>
      <c r="J26" s="38">
        <v>322411</v>
      </c>
      <c r="K26" s="39">
        <f t="shared" si="2"/>
        <v>41009489</v>
      </c>
    </row>
    <row r="27" spans="1:11" s="1" customFormat="1" x14ac:dyDescent="0.25">
      <c r="A27" s="8">
        <v>1050100</v>
      </c>
      <c r="B27" s="10" t="s">
        <v>27</v>
      </c>
      <c r="C27" s="38">
        <f>SUM(C28:C29)</f>
        <v>0</v>
      </c>
      <c r="D27" s="38">
        <f t="shared" ref="D27:J27" si="5">SUM(D28:D29)</f>
        <v>0</v>
      </c>
      <c r="E27" s="38">
        <f t="shared" si="5"/>
        <v>0</v>
      </c>
      <c r="F27" s="38">
        <f t="shared" si="5"/>
        <v>0</v>
      </c>
      <c r="G27" s="38">
        <f t="shared" si="5"/>
        <v>0</v>
      </c>
      <c r="H27" s="38">
        <f t="shared" si="5"/>
        <v>0</v>
      </c>
      <c r="I27" s="38">
        <f t="shared" si="5"/>
        <v>0</v>
      </c>
      <c r="J27" s="38">
        <f t="shared" si="5"/>
        <v>0</v>
      </c>
      <c r="K27" s="39">
        <f t="shared" si="2"/>
        <v>0</v>
      </c>
    </row>
    <row r="28" spans="1:11" s="1" customFormat="1" ht="31.5" x14ac:dyDescent="0.25">
      <c r="A28" s="17">
        <v>1050101</v>
      </c>
      <c r="B28" s="18" t="s">
        <v>28</v>
      </c>
      <c r="C28" s="40"/>
      <c r="D28" s="40"/>
      <c r="E28" s="40"/>
      <c r="F28" s="40"/>
      <c r="G28" s="40"/>
      <c r="H28" s="40"/>
      <c r="I28" s="40"/>
      <c r="J28" s="40"/>
      <c r="K28" s="41">
        <f t="shared" si="2"/>
        <v>0</v>
      </c>
    </row>
    <row r="29" spans="1:11" s="1" customFormat="1" ht="31.5" x14ac:dyDescent="0.25">
      <c r="A29" s="17">
        <v>1050102</v>
      </c>
      <c r="B29" s="18" t="s">
        <v>29</v>
      </c>
      <c r="C29" s="40"/>
      <c r="D29" s="40"/>
      <c r="E29" s="40"/>
      <c r="F29" s="40"/>
      <c r="G29" s="40"/>
      <c r="H29" s="40"/>
      <c r="I29" s="40"/>
      <c r="J29" s="40"/>
      <c r="K29" s="41">
        <f t="shared" si="2"/>
        <v>0</v>
      </c>
    </row>
    <row r="30" spans="1:11" s="1" customFormat="1" ht="47.25" x14ac:dyDescent="0.25">
      <c r="A30" s="8">
        <v>1050200</v>
      </c>
      <c r="B30" s="10" t="s">
        <v>30</v>
      </c>
      <c r="C30" s="38">
        <f>6870490-1618328</f>
        <v>5252162</v>
      </c>
      <c r="D30" s="38">
        <v>3151006</v>
      </c>
      <c r="E30" s="38">
        <f>1706763-4313</f>
        <v>1702450</v>
      </c>
      <c r="F30" s="38">
        <v>475109</v>
      </c>
      <c r="G30" s="38">
        <v>207608</v>
      </c>
      <c r="H30" s="38">
        <v>548037</v>
      </c>
      <c r="I30" s="38">
        <v>554491</v>
      </c>
      <c r="J30" s="38">
        <v>202300</v>
      </c>
      <c r="K30" s="39">
        <f t="shared" si="2"/>
        <v>12093163</v>
      </c>
    </row>
    <row r="31" spans="1:11" s="1" customFormat="1" ht="63" x14ac:dyDescent="0.25">
      <c r="A31" s="8">
        <v>1050400</v>
      </c>
      <c r="B31" s="10" t="s">
        <v>31</v>
      </c>
      <c r="C31" s="38">
        <v>0</v>
      </c>
      <c r="D31" s="38">
        <v>0</v>
      </c>
      <c r="E31" s="38">
        <v>189702</v>
      </c>
      <c r="F31" s="38">
        <v>8254329</v>
      </c>
      <c r="G31" s="38">
        <v>1297198</v>
      </c>
      <c r="H31" s="38">
        <v>2141142</v>
      </c>
      <c r="I31" s="38">
        <v>4908150</v>
      </c>
      <c r="J31" s="38">
        <v>38650</v>
      </c>
      <c r="K31" s="39">
        <f t="shared" si="2"/>
        <v>16829171</v>
      </c>
    </row>
    <row r="32" spans="1:11" s="1" customFormat="1" ht="31.5" x14ac:dyDescent="0.25">
      <c r="A32" s="8">
        <v>1051100</v>
      </c>
      <c r="B32" s="10" t="s">
        <v>32</v>
      </c>
      <c r="C32" s="38">
        <v>0</v>
      </c>
      <c r="D32" s="38">
        <v>0</v>
      </c>
      <c r="E32" s="38"/>
      <c r="F32" s="38"/>
      <c r="G32" s="38"/>
      <c r="H32" s="38"/>
      <c r="I32" s="38"/>
      <c r="J32" s="38"/>
      <c r="K32" s="39">
        <f t="shared" si="2"/>
        <v>0</v>
      </c>
    </row>
    <row r="33" spans="1:11" s="2" customFormat="1" ht="31.5" x14ac:dyDescent="0.25">
      <c r="A33" s="8">
        <v>1051200</v>
      </c>
      <c r="B33" s="10" t="s">
        <v>33</v>
      </c>
      <c r="C33" s="38">
        <v>0</v>
      </c>
      <c r="D33" s="38">
        <v>0</v>
      </c>
      <c r="E33" s="38">
        <v>63565</v>
      </c>
      <c r="F33" s="38">
        <v>7312634</v>
      </c>
      <c r="G33" s="38">
        <v>722226</v>
      </c>
      <c r="H33" s="38">
        <v>1016222</v>
      </c>
      <c r="I33" s="38">
        <v>2619893</v>
      </c>
      <c r="J33" s="38">
        <v>8161</v>
      </c>
      <c r="K33" s="39">
        <f t="shared" si="2"/>
        <v>11742701</v>
      </c>
    </row>
    <row r="34" spans="1:11" s="2" customFormat="1" x14ac:dyDescent="0.25">
      <c r="A34" s="17"/>
      <c r="B34" s="18"/>
      <c r="C34" s="40"/>
      <c r="D34" s="40"/>
      <c r="E34" s="40"/>
      <c r="F34" s="40"/>
      <c r="G34" s="40"/>
      <c r="H34" s="40"/>
      <c r="I34" s="40"/>
      <c r="J34" s="40"/>
      <c r="K34" s="41"/>
    </row>
    <row r="35" spans="1:11" s="1" customFormat="1" ht="31.5" x14ac:dyDescent="0.25">
      <c r="A35" s="8">
        <v>1060000</v>
      </c>
      <c r="B35" s="10" t="s">
        <v>34</v>
      </c>
      <c r="C35" s="54">
        <f>SUM(C36)</f>
        <v>360488294</v>
      </c>
      <c r="D35" s="38">
        <f t="shared" ref="D35:J35" si="6">SUM(D36)</f>
        <v>0</v>
      </c>
      <c r="E35" s="38">
        <f t="shared" si="6"/>
        <v>0</v>
      </c>
      <c r="F35" s="38">
        <f t="shared" si="6"/>
        <v>0</v>
      </c>
      <c r="G35" s="38">
        <f t="shared" si="6"/>
        <v>0</v>
      </c>
      <c r="H35" s="38">
        <f t="shared" si="6"/>
        <v>0</v>
      </c>
      <c r="I35" s="38">
        <f t="shared" si="6"/>
        <v>0</v>
      </c>
      <c r="J35" s="38">
        <f t="shared" si="6"/>
        <v>0</v>
      </c>
      <c r="K35" s="56">
        <f t="shared" si="2"/>
        <v>360488294</v>
      </c>
    </row>
    <row r="36" spans="1:11" s="1" customFormat="1" x14ac:dyDescent="0.25">
      <c r="A36" s="17">
        <v>1060400</v>
      </c>
      <c r="B36" s="18" t="s">
        <v>62</v>
      </c>
      <c r="C36" s="69">
        <f>536734818-127009947-474000+4000-30529397-4257000-21163867+7183687</f>
        <v>360488294</v>
      </c>
      <c r="D36" s="40"/>
      <c r="E36" s="40"/>
      <c r="F36" s="40"/>
      <c r="G36" s="40"/>
      <c r="H36" s="40"/>
      <c r="I36" s="40"/>
      <c r="J36" s="40"/>
      <c r="K36" s="71">
        <f t="shared" si="2"/>
        <v>360488294</v>
      </c>
    </row>
    <row r="37" spans="1:11" s="1" customFormat="1" x14ac:dyDescent="0.25">
      <c r="A37" s="8"/>
      <c r="B37" s="10"/>
      <c r="C37" s="40"/>
      <c r="D37" s="40"/>
      <c r="E37" s="40"/>
      <c r="F37" s="40"/>
      <c r="G37" s="40"/>
      <c r="H37" s="40"/>
      <c r="I37" s="40"/>
      <c r="J37" s="40"/>
      <c r="K37" s="39"/>
    </row>
    <row r="38" spans="1:11" s="1" customFormat="1" x14ac:dyDescent="0.25">
      <c r="A38" s="8">
        <v>1400000</v>
      </c>
      <c r="B38" s="10" t="s">
        <v>35</v>
      </c>
      <c r="C38" s="38">
        <f>C39</f>
        <v>14773120</v>
      </c>
      <c r="D38" s="38">
        <f t="shared" ref="D38:J38" si="7">D39</f>
        <v>261221</v>
      </c>
      <c r="E38" s="38">
        <f t="shared" si="7"/>
        <v>6986489</v>
      </c>
      <c r="F38" s="38">
        <f t="shared" si="7"/>
        <v>5959016</v>
      </c>
      <c r="G38" s="38">
        <f t="shared" si="7"/>
        <v>4161102</v>
      </c>
      <c r="H38" s="38">
        <f t="shared" si="7"/>
        <v>4023757</v>
      </c>
      <c r="I38" s="38">
        <f t="shared" si="7"/>
        <v>2151325</v>
      </c>
      <c r="J38" s="38">
        <f t="shared" si="7"/>
        <v>1077036</v>
      </c>
      <c r="K38" s="39">
        <f t="shared" si="2"/>
        <v>39393066</v>
      </c>
    </row>
    <row r="39" spans="1:11" s="1" customFormat="1" x14ac:dyDescent="0.25">
      <c r="A39" s="8">
        <v>1400100</v>
      </c>
      <c r="B39" s="10" t="s">
        <v>36</v>
      </c>
      <c r="C39" s="40">
        <f>9583189+5189931</f>
        <v>14773120</v>
      </c>
      <c r="D39" s="40">
        <f>143679+117542</f>
        <v>261221</v>
      </c>
      <c r="E39" s="40">
        <f>4965626+2020863</f>
        <v>6986489</v>
      </c>
      <c r="F39" s="40">
        <f>4101213+1857803</f>
        <v>5959016</v>
      </c>
      <c r="G39" s="40">
        <f>2518944+1642158</f>
        <v>4161102</v>
      </c>
      <c r="H39" s="40">
        <f>2465805+1557952</f>
        <v>4023757</v>
      </c>
      <c r="I39" s="40">
        <f>1175518+975807</f>
        <v>2151325</v>
      </c>
      <c r="J39" s="40">
        <f>686393+390643</f>
        <v>1077036</v>
      </c>
      <c r="K39" s="41">
        <f t="shared" si="2"/>
        <v>39393066</v>
      </c>
    </row>
    <row r="40" spans="1:11" s="1" customFormat="1" ht="16.5" thickBot="1" x14ac:dyDescent="0.3">
      <c r="A40" s="29"/>
      <c r="B40" s="30"/>
      <c r="C40" s="42"/>
      <c r="D40" s="42"/>
      <c r="E40" s="42"/>
      <c r="F40" s="42"/>
      <c r="G40" s="42"/>
      <c r="H40" s="42"/>
      <c r="I40" s="42"/>
      <c r="J40" s="42"/>
      <c r="K40" s="43"/>
    </row>
    <row r="41" spans="1:11" s="1" customFormat="1" ht="16.5" thickBot="1" x14ac:dyDescent="0.3">
      <c r="A41" s="31">
        <v>2000000</v>
      </c>
      <c r="B41" s="28" t="s">
        <v>37</v>
      </c>
      <c r="C41" s="34">
        <f>SUM(C42+C50+C53+C55)</f>
        <v>52019109</v>
      </c>
      <c r="D41" s="34">
        <f t="shared" ref="D41:J41" si="8">SUM(D42+D50+D53+D55)</f>
        <v>246937</v>
      </c>
      <c r="E41" s="34">
        <f t="shared" si="8"/>
        <v>6428453</v>
      </c>
      <c r="F41" s="34">
        <f t="shared" si="8"/>
        <v>26847782</v>
      </c>
      <c r="G41" s="34">
        <f t="shared" si="8"/>
        <v>1802809</v>
      </c>
      <c r="H41" s="34">
        <f t="shared" si="8"/>
        <v>2324200</v>
      </c>
      <c r="I41" s="34">
        <f t="shared" si="8"/>
        <v>1037156</v>
      </c>
      <c r="J41" s="34">
        <f t="shared" si="8"/>
        <v>819919</v>
      </c>
      <c r="K41" s="35">
        <f t="shared" si="2"/>
        <v>91526365</v>
      </c>
    </row>
    <row r="42" spans="1:11" s="1" customFormat="1" ht="47.25" x14ac:dyDescent="0.25">
      <c r="A42" s="15">
        <v>2010000</v>
      </c>
      <c r="B42" s="27" t="s">
        <v>38</v>
      </c>
      <c r="C42" s="36">
        <f>23769699+4795360-2673888</f>
        <v>25891171</v>
      </c>
      <c r="D42" s="36">
        <v>140474</v>
      </c>
      <c r="E42" s="36">
        <f>1469244-448166</f>
        <v>1021078</v>
      </c>
      <c r="F42" s="36">
        <f>3189074+20793927</f>
        <v>23983001</v>
      </c>
      <c r="G42" s="36">
        <v>148643</v>
      </c>
      <c r="H42" s="36">
        <v>473357</v>
      </c>
      <c r="I42" s="36">
        <v>53850</v>
      </c>
      <c r="J42" s="36">
        <v>26507</v>
      </c>
      <c r="K42" s="37">
        <f t="shared" si="2"/>
        <v>51738081</v>
      </c>
    </row>
    <row r="43" spans="1:11" s="1" customFormat="1" ht="47.25" x14ac:dyDescent="0.25">
      <c r="A43" s="8">
        <v>2010200</v>
      </c>
      <c r="B43" s="51" t="s">
        <v>39</v>
      </c>
      <c r="C43" s="64">
        <v>1492954</v>
      </c>
      <c r="D43" s="64">
        <v>25490</v>
      </c>
      <c r="E43" s="64">
        <v>308681</v>
      </c>
      <c r="F43" s="64">
        <v>129119</v>
      </c>
      <c r="G43" s="64">
        <v>42134</v>
      </c>
      <c r="H43" s="64">
        <v>163789</v>
      </c>
      <c r="I43" s="64">
        <v>53850</v>
      </c>
      <c r="J43" s="64">
        <v>16067</v>
      </c>
      <c r="K43" s="39">
        <f t="shared" si="2"/>
        <v>2232084</v>
      </c>
    </row>
    <row r="44" spans="1:11" s="1" customFormat="1" ht="31.5" x14ac:dyDescent="0.25">
      <c r="A44" s="8">
        <v>2010300</v>
      </c>
      <c r="B44" s="10" t="s">
        <v>40</v>
      </c>
      <c r="C44" s="38">
        <f>7564452-4327635</f>
        <v>3236817</v>
      </c>
      <c r="D44" s="38"/>
      <c r="E44" s="38">
        <f>599106-448166</f>
        <v>150940</v>
      </c>
      <c r="F44" s="38">
        <f>3016455+20793927</f>
        <v>23810382</v>
      </c>
      <c r="G44" s="38">
        <v>0</v>
      </c>
      <c r="H44" s="38">
        <v>0</v>
      </c>
      <c r="I44" s="38">
        <v>0</v>
      </c>
      <c r="J44" s="38">
        <v>0</v>
      </c>
      <c r="K44" s="39">
        <f t="shared" si="2"/>
        <v>27198139</v>
      </c>
    </row>
    <row r="45" spans="1:11" s="1" customFormat="1" ht="31.5" x14ac:dyDescent="0.25">
      <c r="A45" s="8">
        <v>2010400</v>
      </c>
      <c r="B45" s="10" t="s">
        <v>41</v>
      </c>
      <c r="C45" s="38">
        <v>357000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9">
        <f t="shared" si="2"/>
        <v>357000</v>
      </c>
    </row>
    <row r="46" spans="1:11" s="1" customFormat="1" ht="31.5" x14ac:dyDescent="0.25">
      <c r="A46" s="8">
        <v>2010500</v>
      </c>
      <c r="B46" s="10" t="s">
        <v>42</v>
      </c>
      <c r="C46" s="38">
        <v>63548</v>
      </c>
      <c r="D46" s="38">
        <v>0</v>
      </c>
      <c r="E46" s="38">
        <v>8727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f t="shared" si="2"/>
        <v>72275</v>
      </c>
    </row>
    <row r="47" spans="1:11" s="1" customFormat="1" ht="31.5" x14ac:dyDescent="0.25">
      <c r="A47" s="8">
        <v>2010900</v>
      </c>
      <c r="B47" s="10" t="s">
        <v>43</v>
      </c>
      <c r="C47" s="38">
        <v>1791830</v>
      </c>
      <c r="D47" s="38">
        <v>114984</v>
      </c>
      <c r="E47" s="38">
        <v>497051</v>
      </c>
      <c r="F47" s="38">
        <v>0</v>
      </c>
      <c r="G47" s="38">
        <v>35169</v>
      </c>
      <c r="H47" s="38">
        <v>309568</v>
      </c>
      <c r="I47" s="38">
        <v>0</v>
      </c>
      <c r="J47" s="38">
        <v>0</v>
      </c>
      <c r="K47" s="39">
        <f t="shared" si="2"/>
        <v>2748602</v>
      </c>
    </row>
    <row r="48" spans="1:11" s="1" customFormat="1" ht="31.5" x14ac:dyDescent="0.25">
      <c r="A48" s="8">
        <v>2011000</v>
      </c>
      <c r="B48" s="10" t="s">
        <v>44</v>
      </c>
      <c r="C48" s="38">
        <v>15054642</v>
      </c>
      <c r="D48" s="38"/>
      <c r="E48" s="38">
        <v>0</v>
      </c>
      <c r="F48" s="38">
        <v>0</v>
      </c>
      <c r="G48" s="38">
        <v>0</v>
      </c>
      <c r="H48" s="44">
        <v>0</v>
      </c>
      <c r="I48" s="38">
        <v>0</v>
      </c>
      <c r="J48" s="38">
        <v>0</v>
      </c>
      <c r="K48" s="39">
        <f t="shared" si="2"/>
        <v>15054642</v>
      </c>
    </row>
    <row r="49" spans="1:11" s="1" customFormat="1" x14ac:dyDescent="0.25">
      <c r="A49" s="8"/>
      <c r="B49" s="10"/>
      <c r="C49" s="38"/>
      <c r="D49" s="38"/>
      <c r="E49" s="38"/>
      <c r="F49" s="38"/>
      <c r="G49" s="38"/>
      <c r="H49" s="38"/>
      <c r="I49" s="38"/>
      <c r="J49" s="38"/>
      <c r="K49" s="39"/>
    </row>
    <row r="50" spans="1:11" s="1" customFormat="1" ht="47.25" x14ac:dyDescent="0.25">
      <c r="A50" s="8">
        <v>2020000</v>
      </c>
      <c r="B50" s="10" t="s">
        <v>45</v>
      </c>
      <c r="C50" s="38">
        <f>9092192+39994238-39994238</f>
        <v>9092192</v>
      </c>
      <c r="D50" s="38">
        <v>2498</v>
      </c>
      <c r="E50" s="38">
        <v>26197</v>
      </c>
      <c r="F50" s="38">
        <v>43632</v>
      </c>
      <c r="G50" s="38">
        <v>0</v>
      </c>
      <c r="H50" s="38">
        <v>28062</v>
      </c>
      <c r="I50" s="38">
        <v>40863</v>
      </c>
      <c r="J50" s="38">
        <v>28265</v>
      </c>
      <c r="K50" s="39">
        <f t="shared" si="2"/>
        <v>9261709</v>
      </c>
    </row>
    <row r="51" spans="1:11" s="1" customFormat="1" ht="47.25" x14ac:dyDescent="0.25">
      <c r="A51" s="17">
        <v>2020100</v>
      </c>
      <c r="B51" s="18" t="s">
        <v>46</v>
      </c>
      <c r="C51" s="40">
        <f>8807000+39994238-39994238</f>
        <v>8807000</v>
      </c>
      <c r="D51" s="40"/>
      <c r="E51" s="40"/>
      <c r="F51" s="40"/>
      <c r="G51" s="40"/>
      <c r="H51" s="40"/>
      <c r="I51" s="40"/>
      <c r="J51" s="40"/>
      <c r="K51" s="41">
        <f t="shared" si="2"/>
        <v>8807000</v>
      </c>
    </row>
    <row r="52" spans="1:11" s="1" customFormat="1" x14ac:dyDescent="0.25">
      <c r="A52" s="17"/>
      <c r="B52" s="18"/>
      <c r="C52" s="40"/>
      <c r="D52" s="40"/>
      <c r="E52" s="40"/>
      <c r="F52" s="40"/>
      <c r="G52" s="40"/>
      <c r="H52" s="40"/>
      <c r="I52" s="40"/>
      <c r="J52" s="40"/>
      <c r="K52" s="39"/>
    </row>
    <row r="53" spans="1:11" s="1" customFormat="1" x14ac:dyDescent="0.25">
      <c r="A53" s="9">
        <v>2060000</v>
      </c>
      <c r="B53" s="10" t="s">
        <v>47</v>
      </c>
      <c r="C53" s="38">
        <v>3548304</v>
      </c>
      <c r="D53" s="38">
        <v>73842</v>
      </c>
      <c r="E53" s="38">
        <v>1116528</v>
      </c>
      <c r="F53" s="38">
        <v>727163</v>
      </c>
      <c r="G53" s="38">
        <v>607181</v>
      </c>
      <c r="H53" s="38">
        <v>533711</v>
      </c>
      <c r="I53" s="38">
        <v>428451</v>
      </c>
      <c r="J53" s="38">
        <v>239506</v>
      </c>
      <c r="K53" s="39">
        <f t="shared" si="2"/>
        <v>7274686</v>
      </c>
    </row>
    <row r="54" spans="1:11" s="1" customFormat="1" x14ac:dyDescent="0.25">
      <c r="A54" s="19"/>
      <c r="B54" s="18"/>
      <c r="C54" s="40"/>
      <c r="D54" s="40"/>
      <c r="E54" s="40"/>
      <c r="F54" s="40"/>
      <c r="G54" s="40"/>
      <c r="H54" s="40"/>
      <c r="I54" s="40"/>
      <c r="J54" s="40"/>
      <c r="K54" s="39"/>
    </row>
    <row r="55" spans="1:11" s="1" customFormat="1" x14ac:dyDescent="0.25">
      <c r="A55" s="9">
        <v>2070000</v>
      </c>
      <c r="B55" s="10" t="s">
        <v>48</v>
      </c>
      <c r="C55" s="38">
        <f>12233535+1253907</f>
        <v>13487442</v>
      </c>
      <c r="D55" s="38">
        <v>30123</v>
      </c>
      <c r="E55" s="38">
        <v>4264650</v>
      </c>
      <c r="F55" s="38">
        <v>2093986</v>
      </c>
      <c r="G55" s="38">
        <v>1046985</v>
      </c>
      <c r="H55" s="38">
        <v>1289070</v>
      </c>
      <c r="I55" s="38">
        <v>513992</v>
      </c>
      <c r="J55" s="38">
        <v>525641</v>
      </c>
      <c r="K55" s="39">
        <f t="shared" si="2"/>
        <v>23251889</v>
      </c>
    </row>
    <row r="56" spans="1:11" s="1" customFormat="1" ht="16.5" thickBot="1" x14ac:dyDescent="0.3">
      <c r="A56" s="21"/>
      <c r="B56" s="24"/>
      <c r="C56" s="45"/>
      <c r="D56" s="45"/>
      <c r="E56" s="45"/>
      <c r="F56" s="45"/>
      <c r="G56" s="45"/>
      <c r="H56" s="45"/>
      <c r="I56" s="45"/>
      <c r="J56" s="45"/>
      <c r="K56" s="43"/>
    </row>
    <row r="57" spans="1:11" s="1" customFormat="1" ht="16.5" thickBot="1" x14ac:dyDescent="0.3">
      <c r="A57" s="25">
        <v>3000000</v>
      </c>
      <c r="B57" s="28" t="s">
        <v>68</v>
      </c>
      <c r="C57" s="68">
        <f>SUM(C58:C60)</f>
        <v>87345419</v>
      </c>
      <c r="D57" s="34">
        <f t="shared" ref="D57:J57" si="9">SUM(D58:D60)</f>
        <v>0</v>
      </c>
      <c r="E57" s="34">
        <f t="shared" si="9"/>
        <v>0</v>
      </c>
      <c r="F57" s="34">
        <f t="shared" si="9"/>
        <v>0</v>
      </c>
      <c r="G57" s="34">
        <f t="shared" si="9"/>
        <v>0</v>
      </c>
      <c r="H57" s="34">
        <f t="shared" si="9"/>
        <v>0</v>
      </c>
      <c r="I57" s="34">
        <f t="shared" si="9"/>
        <v>0</v>
      </c>
      <c r="J57" s="34">
        <f t="shared" si="9"/>
        <v>0</v>
      </c>
      <c r="K57" s="70">
        <f t="shared" ref="K57:K60" si="10">SUM(C57:J57)</f>
        <v>87345419</v>
      </c>
    </row>
    <row r="58" spans="1:11" s="62" customFormat="1" x14ac:dyDescent="0.25">
      <c r="A58" s="58">
        <v>3010000</v>
      </c>
      <c r="B58" s="59" t="s">
        <v>72</v>
      </c>
      <c r="C58" s="60">
        <f>0+4353150+4810950</f>
        <v>9164100</v>
      </c>
      <c r="D58" s="60"/>
      <c r="E58" s="60"/>
      <c r="F58" s="60"/>
      <c r="G58" s="60"/>
      <c r="H58" s="60"/>
      <c r="I58" s="60"/>
      <c r="J58" s="60"/>
      <c r="K58" s="61">
        <f t="shared" si="10"/>
        <v>9164100</v>
      </c>
    </row>
    <row r="59" spans="1:11" s="1" customFormat="1" ht="31.5" x14ac:dyDescent="0.25">
      <c r="A59" s="9">
        <v>3011000</v>
      </c>
      <c r="B59" s="10" t="s">
        <v>69</v>
      </c>
      <c r="C59" s="38">
        <f>0+11343719</f>
        <v>11343719</v>
      </c>
      <c r="D59" s="38"/>
      <c r="E59" s="38"/>
      <c r="F59" s="38"/>
      <c r="G59" s="38"/>
      <c r="H59" s="38"/>
      <c r="I59" s="38"/>
      <c r="J59" s="38"/>
      <c r="K59" s="39">
        <f t="shared" si="10"/>
        <v>11343719</v>
      </c>
    </row>
    <row r="60" spans="1:11" s="1" customFormat="1" x14ac:dyDescent="0.25">
      <c r="A60" s="9">
        <v>3060000</v>
      </c>
      <c r="B60" s="10" t="s">
        <v>70</v>
      </c>
      <c r="C60" s="38">
        <f>0+36611200+30226400</f>
        <v>66837600</v>
      </c>
      <c r="D60" s="38"/>
      <c r="E60" s="38"/>
      <c r="F60" s="38"/>
      <c r="G60" s="38"/>
      <c r="H60" s="38"/>
      <c r="I60" s="38"/>
      <c r="J60" s="38"/>
      <c r="K60" s="39">
        <f t="shared" si="10"/>
        <v>66837600</v>
      </c>
    </row>
    <row r="61" spans="1:11" s="1" customFormat="1" ht="16.5" thickBot="1" x14ac:dyDescent="0.3">
      <c r="A61" s="72"/>
      <c r="B61" s="73"/>
      <c r="C61" s="74"/>
      <c r="D61" s="74"/>
      <c r="E61" s="74"/>
      <c r="F61" s="74"/>
      <c r="G61" s="74"/>
      <c r="H61" s="74"/>
      <c r="I61" s="74"/>
      <c r="J61" s="74"/>
      <c r="K61" s="75"/>
    </row>
    <row r="62" spans="1:11" s="1" customFormat="1" ht="16.5" thickBot="1" x14ac:dyDescent="0.3">
      <c r="A62" s="25">
        <v>4000000</v>
      </c>
      <c r="B62" s="28" t="s">
        <v>49</v>
      </c>
      <c r="C62" s="68">
        <f>SUM(C63+C66+C70+C72+C74+C76+C78+C80+C68)</f>
        <v>625545239</v>
      </c>
      <c r="D62" s="68">
        <f t="shared" ref="D62:J62" si="11">SUM(D63+D66+D70+D72+D74+D76+D78+D80+D68)</f>
        <v>18603858</v>
      </c>
      <c r="E62" s="68">
        <f t="shared" si="11"/>
        <v>11574654</v>
      </c>
      <c r="F62" s="68">
        <f t="shared" si="11"/>
        <v>23381097</v>
      </c>
      <c r="G62" s="68">
        <f t="shared" si="11"/>
        <v>9075401</v>
      </c>
      <c r="H62" s="68">
        <f t="shared" si="11"/>
        <v>21993707</v>
      </c>
      <c r="I62" s="68">
        <f t="shared" si="11"/>
        <v>17466597</v>
      </c>
      <c r="J62" s="68">
        <f t="shared" si="11"/>
        <v>6420962</v>
      </c>
      <c r="K62" s="70">
        <f t="shared" si="2"/>
        <v>734061515</v>
      </c>
    </row>
    <row r="63" spans="1:11" s="62" customFormat="1" x14ac:dyDescent="0.25">
      <c r="A63" s="58">
        <v>4010000</v>
      </c>
      <c r="B63" s="59" t="s">
        <v>50</v>
      </c>
      <c r="C63" s="60">
        <f>274031814-20854431</f>
        <v>253177383</v>
      </c>
      <c r="D63" s="60">
        <v>16613212</v>
      </c>
      <c r="E63" s="60">
        <v>9896768</v>
      </c>
      <c r="F63" s="60">
        <f>9920499-3114050</f>
        <v>6806449</v>
      </c>
      <c r="G63" s="60">
        <v>2224110</v>
      </c>
      <c r="H63" s="60">
        <v>3989068</v>
      </c>
      <c r="I63" s="60">
        <v>1729060</v>
      </c>
      <c r="J63" s="60">
        <v>818526</v>
      </c>
      <c r="K63" s="61">
        <f t="shared" si="2"/>
        <v>295254576</v>
      </c>
    </row>
    <row r="64" spans="1:11" s="1" customFormat="1" x14ac:dyDescent="0.25">
      <c r="A64" s="19">
        <v>4010104</v>
      </c>
      <c r="B64" s="18" t="s">
        <v>51</v>
      </c>
      <c r="C64" s="40">
        <v>50249665</v>
      </c>
      <c r="D64" s="40">
        <v>16216896</v>
      </c>
      <c r="E64" s="40">
        <v>7933337</v>
      </c>
      <c r="F64" s="40">
        <f>7771195-3114050</f>
        <v>4657145</v>
      </c>
      <c r="G64" s="40">
        <v>1512692</v>
      </c>
      <c r="H64" s="40">
        <v>2671265</v>
      </c>
      <c r="I64" s="40">
        <v>1035535</v>
      </c>
      <c r="J64" s="40">
        <v>425327</v>
      </c>
      <c r="K64" s="41">
        <f t="shared" si="2"/>
        <v>84701862</v>
      </c>
    </row>
    <row r="65" spans="1:11" s="1" customFormat="1" x14ac:dyDescent="0.25">
      <c r="A65" s="19"/>
      <c r="B65" s="18"/>
      <c r="C65" s="40"/>
      <c r="D65" s="40"/>
      <c r="E65" s="40"/>
      <c r="F65" s="40"/>
      <c r="G65" s="40"/>
      <c r="H65" s="40"/>
      <c r="I65" s="40"/>
      <c r="J65" s="40"/>
      <c r="K65" s="39"/>
    </row>
    <row r="66" spans="1:11" s="1" customFormat="1" ht="31.5" x14ac:dyDescent="0.25">
      <c r="A66" s="9">
        <v>4020100</v>
      </c>
      <c r="B66" s="10" t="s">
        <v>52</v>
      </c>
      <c r="C66" s="38">
        <v>2801310</v>
      </c>
      <c r="D66" s="38">
        <v>1990646</v>
      </c>
      <c r="E66" s="38">
        <v>717646</v>
      </c>
      <c r="F66" s="38">
        <v>1347163</v>
      </c>
      <c r="G66" s="38">
        <v>300353</v>
      </c>
      <c r="H66" s="38">
        <v>771759</v>
      </c>
      <c r="I66" s="38">
        <v>288025</v>
      </c>
      <c r="J66" s="38">
        <v>174745</v>
      </c>
      <c r="K66" s="39">
        <f t="shared" si="2"/>
        <v>8391647</v>
      </c>
    </row>
    <row r="67" spans="1:11" s="1" customFormat="1" x14ac:dyDescent="0.25">
      <c r="A67" s="19"/>
      <c r="B67" s="18"/>
      <c r="C67" s="40"/>
      <c r="D67" s="40"/>
      <c r="E67" s="40"/>
      <c r="F67" s="40"/>
      <c r="G67" s="40"/>
      <c r="H67" s="40"/>
      <c r="I67" s="40"/>
      <c r="J67" s="40"/>
      <c r="K67" s="39"/>
    </row>
    <row r="68" spans="1:11" s="1" customFormat="1" x14ac:dyDescent="0.25">
      <c r="A68" s="9">
        <v>4060000</v>
      </c>
      <c r="B68" s="10" t="s">
        <v>71</v>
      </c>
      <c r="C68" s="38">
        <f>0+75415</f>
        <v>75415</v>
      </c>
      <c r="D68" s="38"/>
      <c r="E68" s="38"/>
      <c r="F68" s="38"/>
      <c r="G68" s="38"/>
      <c r="H68" s="38"/>
      <c r="I68" s="38"/>
      <c r="J68" s="38"/>
      <c r="K68" s="39">
        <f t="shared" ref="K68" si="12">SUM(C68:J68)</f>
        <v>75415</v>
      </c>
    </row>
    <row r="69" spans="1:11" s="1" customFormat="1" x14ac:dyDescent="0.25">
      <c r="A69" s="19"/>
      <c r="B69" s="18"/>
      <c r="C69" s="40"/>
      <c r="D69" s="40"/>
      <c r="E69" s="40"/>
      <c r="F69" s="40"/>
      <c r="G69" s="40"/>
      <c r="H69" s="40"/>
      <c r="I69" s="40"/>
      <c r="J69" s="40"/>
      <c r="K69" s="39"/>
    </row>
    <row r="70" spans="1:11" ht="78.75" x14ac:dyDescent="0.25">
      <c r="A70" s="8">
        <v>4080000</v>
      </c>
      <c r="B70" s="10" t="s">
        <v>53</v>
      </c>
      <c r="C70" s="38">
        <v>422419</v>
      </c>
      <c r="D70" s="38">
        <v>0</v>
      </c>
      <c r="E70" s="38">
        <v>681590</v>
      </c>
      <c r="F70" s="38">
        <v>12100585</v>
      </c>
      <c r="G70" s="38">
        <v>5363338</v>
      </c>
      <c r="H70" s="38">
        <v>14200980</v>
      </c>
      <c r="I70" s="38">
        <v>12458362</v>
      </c>
      <c r="J70" s="38">
        <v>4247841</v>
      </c>
      <c r="K70" s="39">
        <f t="shared" si="2"/>
        <v>49475115</v>
      </c>
    </row>
    <row r="71" spans="1:11" x14ac:dyDescent="0.25">
      <c r="A71" s="9"/>
      <c r="B71" s="10"/>
      <c r="C71" s="38"/>
      <c r="D71" s="38"/>
      <c r="E71" s="38"/>
      <c r="F71" s="38"/>
      <c r="G71" s="38"/>
      <c r="H71" s="38"/>
      <c r="I71" s="38"/>
      <c r="J71" s="38"/>
      <c r="K71" s="39"/>
    </row>
    <row r="72" spans="1:11" x14ac:dyDescent="0.25">
      <c r="A72" s="9">
        <v>4100000</v>
      </c>
      <c r="B72" s="10" t="s">
        <v>54</v>
      </c>
      <c r="C72" s="54">
        <f>217293935+23680759+474000-4000+30529397+4257000+21163867</f>
        <v>297394958</v>
      </c>
      <c r="D72" s="38"/>
      <c r="E72" s="38"/>
      <c r="F72" s="38"/>
      <c r="G72" s="38"/>
      <c r="H72" s="38"/>
      <c r="I72" s="38"/>
      <c r="J72" s="38"/>
      <c r="K72" s="56">
        <f t="shared" si="2"/>
        <v>297394958</v>
      </c>
    </row>
    <row r="73" spans="1:11" x14ac:dyDescent="0.25">
      <c r="A73" s="9"/>
      <c r="B73" s="10"/>
      <c r="C73" s="38"/>
      <c r="D73" s="38"/>
      <c r="E73" s="38"/>
      <c r="F73" s="38"/>
      <c r="G73" s="38"/>
      <c r="H73" s="38"/>
      <c r="I73" s="38"/>
      <c r="J73" s="38"/>
      <c r="K73" s="39"/>
    </row>
    <row r="74" spans="1:11" x14ac:dyDescent="0.25">
      <c r="A74" s="9">
        <v>4110000</v>
      </c>
      <c r="B74" s="10" t="s">
        <v>55</v>
      </c>
      <c r="C74" s="38">
        <f>23661155-3023828-2793400</f>
        <v>17843927</v>
      </c>
      <c r="D74" s="38"/>
      <c r="E74" s="38"/>
      <c r="F74" s="38"/>
      <c r="G74" s="38"/>
      <c r="H74" s="38"/>
      <c r="I74" s="38"/>
      <c r="J74" s="38"/>
      <c r="K74" s="39">
        <f t="shared" ref="K74:K83" si="13">SUM(C74:J74)</f>
        <v>17843927</v>
      </c>
    </row>
    <row r="75" spans="1:11" x14ac:dyDescent="0.25">
      <c r="A75" s="9"/>
      <c r="B75" s="10"/>
      <c r="C75" s="38"/>
      <c r="D75" s="38"/>
      <c r="E75" s="38"/>
      <c r="F75" s="38"/>
      <c r="G75" s="38"/>
      <c r="H75" s="38"/>
      <c r="I75" s="38"/>
      <c r="J75" s="38"/>
      <c r="K75" s="39"/>
    </row>
    <row r="76" spans="1:11" x14ac:dyDescent="0.25">
      <c r="A76" s="9">
        <v>4120000</v>
      </c>
      <c r="B76" s="10" t="s">
        <v>56</v>
      </c>
      <c r="C76" s="38">
        <f>10583290-1352514-1538663</f>
        <v>7692113</v>
      </c>
      <c r="D76" s="38"/>
      <c r="E76" s="38"/>
      <c r="F76" s="38"/>
      <c r="G76" s="38"/>
      <c r="H76" s="38"/>
      <c r="I76" s="38"/>
      <c r="J76" s="38"/>
      <c r="K76" s="39">
        <f t="shared" si="13"/>
        <v>7692113</v>
      </c>
    </row>
    <row r="77" spans="1:11" x14ac:dyDescent="0.25">
      <c r="A77" s="9"/>
      <c r="B77" s="10"/>
      <c r="C77" s="38"/>
      <c r="D77" s="38"/>
      <c r="E77" s="38"/>
      <c r="F77" s="38"/>
      <c r="G77" s="38"/>
      <c r="H77" s="38"/>
      <c r="I77" s="38"/>
      <c r="J77" s="38"/>
      <c r="K77" s="39"/>
    </row>
    <row r="78" spans="1:11" x14ac:dyDescent="0.25">
      <c r="A78" s="9">
        <v>4130000</v>
      </c>
      <c r="B78" s="20" t="s">
        <v>60</v>
      </c>
      <c r="C78" s="38">
        <f>21928850-2802445-936000</f>
        <v>18190405</v>
      </c>
      <c r="D78" s="49"/>
      <c r="E78" s="49"/>
      <c r="F78" s="49"/>
      <c r="G78" s="49"/>
      <c r="H78" s="49"/>
      <c r="I78" s="49"/>
      <c r="J78" s="49"/>
      <c r="K78" s="39">
        <f t="shared" si="13"/>
        <v>18190405</v>
      </c>
    </row>
    <row r="79" spans="1:11" x14ac:dyDescent="0.25">
      <c r="A79" s="21"/>
      <c r="B79" s="48"/>
      <c r="C79" s="45"/>
      <c r="D79" s="50"/>
      <c r="E79" s="50"/>
      <c r="F79" s="50"/>
      <c r="G79" s="50"/>
      <c r="H79" s="50"/>
      <c r="I79" s="50"/>
      <c r="J79" s="50"/>
      <c r="K79" s="43"/>
    </row>
    <row r="80" spans="1:11" s="57" customFormat="1" x14ac:dyDescent="0.25">
      <c r="A80" s="52">
        <v>4140000</v>
      </c>
      <c r="B80" s="53" t="s">
        <v>61</v>
      </c>
      <c r="C80" s="54">
        <f>34218950-4356017-1915624</f>
        <v>27947309</v>
      </c>
      <c r="D80" s="55">
        <v>0</v>
      </c>
      <c r="E80" s="55">
        <v>278650</v>
      </c>
      <c r="F80" s="55">
        <v>3126900</v>
      </c>
      <c r="G80" s="55">
        <v>1187600</v>
      </c>
      <c r="H80" s="55">
        <v>3031900</v>
      </c>
      <c r="I80" s="55">
        <v>2991150</v>
      </c>
      <c r="J80" s="55">
        <v>1179850</v>
      </c>
      <c r="K80" s="56">
        <f t="shared" si="13"/>
        <v>39743359</v>
      </c>
    </row>
    <row r="81" spans="1:11" ht="16.5" thickBot="1" x14ac:dyDescent="0.3">
      <c r="A81" s="21"/>
      <c r="B81" s="24"/>
      <c r="C81" s="45"/>
      <c r="D81" s="50"/>
      <c r="E81" s="50"/>
      <c r="F81" s="50"/>
      <c r="G81" s="50"/>
      <c r="H81" s="50"/>
      <c r="I81" s="50"/>
      <c r="J81" s="50"/>
      <c r="K81" s="43"/>
    </row>
    <row r="82" spans="1:11" ht="32.25" thickBot="1" x14ac:dyDescent="0.3">
      <c r="A82" s="25">
        <v>5000000</v>
      </c>
      <c r="B82" s="26" t="s">
        <v>57</v>
      </c>
      <c r="C82" s="34">
        <f>149719949-9600960-2680972+967633+883004+200000</f>
        <v>139488654</v>
      </c>
      <c r="D82" s="34">
        <f>1759050+5409810</f>
        <v>7168860</v>
      </c>
      <c r="E82" s="34">
        <f>34759285+4191150+34000</f>
        <v>38984435</v>
      </c>
      <c r="F82" s="34">
        <v>18016341</v>
      </c>
      <c r="G82" s="34">
        <v>9575558</v>
      </c>
      <c r="H82" s="34">
        <v>2232198</v>
      </c>
      <c r="I82" s="34">
        <v>4907320</v>
      </c>
      <c r="J82" s="34">
        <v>3842149</v>
      </c>
      <c r="K82" s="35">
        <f t="shared" si="13"/>
        <v>224215515</v>
      </c>
    </row>
    <row r="83" spans="1:11" ht="16.5" thickBot="1" x14ac:dyDescent="0.3">
      <c r="A83" s="22"/>
      <c r="B83" s="23" t="s">
        <v>58</v>
      </c>
      <c r="C83" s="46">
        <f>SUM(C8+C41+C62+C82+C57)</f>
        <v>1720926699</v>
      </c>
      <c r="D83" s="46">
        <f t="shared" ref="D83:J83" si="14">SUM(D8+D41+D62+D82+D57)</f>
        <v>229054231</v>
      </c>
      <c r="E83" s="46">
        <f t="shared" si="14"/>
        <v>106322235</v>
      </c>
      <c r="F83" s="46">
        <f t="shared" si="14"/>
        <v>113053293</v>
      </c>
      <c r="G83" s="46">
        <f t="shared" si="14"/>
        <v>37687605</v>
      </c>
      <c r="H83" s="46">
        <f t="shared" si="14"/>
        <v>44267478</v>
      </c>
      <c r="I83" s="46">
        <f t="shared" si="14"/>
        <v>38907398</v>
      </c>
      <c r="J83" s="46">
        <f t="shared" si="14"/>
        <v>15857961</v>
      </c>
      <c r="K83" s="47">
        <f t="shared" si="13"/>
        <v>2306076900</v>
      </c>
    </row>
  </sheetData>
  <mergeCells count="4">
    <mergeCell ref="I1:K1"/>
    <mergeCell ref="H2:K2"/>
    <mergeCell ref="I3:K3"/>
    <mergeCell ref="A5:K5"/>
  </mergeCells>
  <pageMargins left="0.39370078740157483" right="0.39370078740157483" top="0.78740157480314965" bottom="0.39370078740157483" header="0" footer="0"/>
  <pageSetup paperSize="9" scale="75" firstPageNumber="70" fitToHeight="3" orientation="landscape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(1360-1)</vt:lpstr>
      <vt:lpstr>'Приложение № 1 (1360-1)'!Заголовки_для_печати</vt:lpstr>
      <vt:lpstr>'Приложение № 1 (1360-1)'!Область_печати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2025-03-21T07:50:01Z</dcterms:modified>
</cp:coreProperties>
</file>