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64" windowHeight="0" tabRatio="390"/>
  </bookViews>
  <sheets>
    <sheet name="Приложение № 2 (1588)" sheetId="1" r:id="rId1"/>
  </sheets>
  <definedNames>
    <definedName name="_xlnm.Print_Titles" localSheetId="0">'Приложение № 2 (1588)'!$A:$C,'Приложение № 2 (1588)'!$10:$10</definedName>
    <definedName name="_xlnm.Print_Area" localSheetId="0">'Приложение № 2 (1588)'!$A$1:$CW$305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04" i="1" l="1"/>
  <c r="AZ304" i="1"/>
  <c r="CI294" i="1" l="1"/>
  <c r="AC246" i="1"/>
  <c r="Z246" i="1"/>
  <c r="Y246" i="1"/>
  <c r="X246" i="1"/>
  <c r="W246" i="1"/>
  <c r="V246" i="1"/>
  <c r="BI293" i="1"/>
  <c r="CV292" i="1" l="1"/>
  <c r="CU292" i="1"/>
  <c r="CR292" i="1"/>
  <c r="CQ292" i="1"/>
  <c r="CP292" i="1"/>
  <c r="CO292" i="1"/>
  <c r="CN292" i="1"/>
  <c r="CM292" i="1"/>
  <c r="CL292" i="1"/>
  <c r="CJ292" i="1"/>
  <c r="CI292" i="1"/>
  <c r="CH292" i="1"/>
  <c r="CG292" i="1"/>
  <c r="CF292" i="1"/>
  <c r="CD292" i="1"/>
  <c r="CC292" i="1"/>
  <c r="BY292" i="1"/>
  <c r="BX292" i="1"/>
  <c r="BW292" i="1"/>
  <c r="BV292" i="1"/>
  <c r="BU292" i="1"/>
  <c r="BT292" i="1"/>
  <c r="BS292" i="1"/>
  <c r="BR292" i="1"/>
  <c r="BQ292" i="1"/>
  <c r="BP292" i="1"/>
  <c r="BO292" i="1"/>
  <c r="BM292" i="1"/>
  <c r="BL292" i="1"/>
  <c r="BJ292" i="1"/>
  <c r="BI292" i="1"/>
  <c r="BH292" i="1"/>
  <c r="BG292" i="1"/>
  <c r="BE292" i="1"/>
  <c r="BD292" i="1"/>
  <c r="BC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O292" i="1"/>
  <c r="N292" i="1"/>
  <c r="M292" i="1"/>
  <c r="L292" i="1"/>
  <c r="K292" i="1"/>
  <c r="J292" i="1"/>
  <c r="H292" i="1"/>
  <c r="G292" i="1"/>
  <c r="CT294" i="1"/>
  <c r="CS294" i="1" s="1"/>
  <c r="CK294" i="1"/>
  <c r="CE294" i="1"/>
  <c r="CB294" i="1"/>
  <c r="BN294" i="1"/>
  <c r="BK294" i="1"/>
  <c r="BF294" i="1"/>
  <c r="BB294" i="1"/>
  <c r="AE294" i="1"/>
  <c r="U294" i="1"/>
  <c r="P294" i="1"/>
  <c r="I294" i="1"/>
  <c r="F294" i="1" l="1"/>
  <c r="CA294" i="1"/>
  <c r="BZ294" i="1" s="1"/>
  <c r="BA294" i="1"/>
  <c r="E294" i="1" l="1"/>
  <c r="D294" i="1" l="1"/>
  <c r="CM248" i="1" l="1"/>
  <c r="AI248" i="1"/>
  <c r="AH248" i="1"/>
  <c r="O248" i="1"/>
  <c r="CD244" i="1" l="1"/>
  <c r="AI244" i="1"/>
  <c r="AZ238" i="1"/>
  <c r="AZ233" i="1"/>
  <c r="Y255" i="1"/>
  <c r="X255" i="1"/>
  <c r="W255" i="1"/>
  <c r="V255" i="1"/>
  <c r="Y254" i="1"/>
  <c r="X254" i="1"/>
  <c r="W254" i="1"/>
  <c r="V253" i="1"/>
  <c r="T251" i="1"/>
  <c r="AC250" i="1"/>
  <c r="Z250" i="1"/>
  <c r="Y250" i="1"/>
  <c r="X250" i="1"/>
  <c r="X248" i="1"/>
  <c r="V248" i="1"/>
  <c r="AC242" i="1"/>
  <c r="Y242" i="1"/>
  <c r="W242" i="1"/>
  <c r="AA241" i="1"/>
  <c r="AC240" i="1"/>
  <c r="Z240" i="1"/>
  <c r="W240" i="1"/>
  <c r="V240" i="1"/>
  <c r="T240" i="1"/>
  <c r="Z238" i="1"/>
  <c r="Y238" i="1"/>
  <c r="X238" i="1"/>
  <c r="W238" i="1"/>
  <c r="V238" i="1"/>
  <c r="T238" i="1"/>
  <c r="X237" i="1"/>
  <c r="W237" i="1"/>
  <c r="AC236" i="1"/>
  <c r="Z236" i="1"/>
  <c r="Y236" i="1"/>
  <c r="X236" i="1"/>
  <c r="W236" i="1"/>
  <c r="V236" i="1"/>
  <c r="AC235" i="1"/>
  <c r="Y235" i="1"/>
  <c r="X235" i="1"/>
  <c r="W235" i="1"/>
  <c r="V235" i="1"/>
  <c r="T235" i="1"/>
  <c r="Z234" i="1"/>
  <c r="X234" i="1"/>
  <c r="W234" i="1"/>
  <c r="V234" i="1"/>
  <c r="X233" i="1"/>
  <c r="W233" i="1"/>
  <c r="V233" i="1"/>
  <c r="H252" i="1"/>
  <c r="G252" i="1"/>
  <c r="H251" i="1"/>
  <c r="G251" i="1"/>
  <c r="H250" i="1"/>
  <c r="G250" i="1"/>
  <c r="J249" i="1"/>
  <c r="J248" i="1"/>
  <c r="G247" i="1"/>
  <c r="J242" i="1"/>
  <c r="H242" i="1"/>
  <c r="G242" i="1"/>
  <c r="H241" i="1"/>
  <c r="G241" i="1"/>
  <c r="H240" i="1"/>
  <c r="L238" i="1"/>
  <c r="H238" i="1"/>
  <c r="G238" i="1"/>
  <c r="H237" i="1"/>
  <c r="G237" i="1"/>
  <c r="L236" i="1"/>
  <c r="H236" i="1"/>
  <c r="G236" i="1"/>
  <c r="H235" i="1"/>
  <c r="G235" i="1"/>
  <c r="L234" i="1"/>
  <c r="K234" i="1"/>
  <c r="H234" i="1"/>
  <c r="G234" i="1"/>
  <c r="L233" i="1"/>
  <c r="G233" i="1"/>
  <c r="H232" i="1"/>
  <c r="G232" i="1"/>
  <c r="AZ302" i="1" l="1"/>
  <c r="AZ299" i="1"/>
  <c r="AZ298" i="1"/>
  <c r="BY300" i="1"/>
  <c r="CO296" i="1"/>
  <c r="CM296" i="1"/>
  <c r="CL296" i="1"/>
  <c r="CJ296" i="1"/>
  <c r="CI296" i="1"/>
  <c r="CH296" i="1"/>
  <c r="CG296" i="1"/>
  <c r="CF296" i="1"/>
  <c r="AZ296" i="1"/>
  <c r="BH291" i="1" l="1"/>
  <c r="AZ289" i="1"/>
  <c r="BI287" i="1"/>
  <c r="BG286" i="1"/>
  <c r="BI285" i="1"/>
  <c r="BI284" i="1"/>
  <c r="BI283" i="1"/>
  <c r="BI282" i="1"/>
  <c r="BI281" i="1"/>
  <c r="BI280" i="1"/>
  <c r="CT285" i="1"/>
  <c r="CS285" i="1" s="1"/>
  <c r="CK285" i="1"/>
  <c r="CE285" i="1"/>
  <c r="CB285" i="1"/>
  <c r="BN285" i="1"/>
  <c r="BK285" i="1"/>
  <c r="BF285" i="1"/>
  <c r="BB285" i="1"/>
  <c r="AE285" i="1"/>
  <c r="U285" i="1"/>
  <c r="P285" i="1"/>
  <c r="I285" i="1"/>
  <c r="CT284" i="1"/>
  <c r="CS284" i="1" s="1"/>
  <c r="CK284" i="1"/>
  <c r="CE284" i="1"/>
  <c r="CB284" i="1"/>
  <c r="BN284" i="1"/>
  <c r="BK284" i="1"/>
  <c r="BF284" i="1"/>
  <c r="BB284" i="1"/>
  <c r="AE284" i="1"/>
  <c r="U284" i="1"/>
  <c r="P284" i="1"/>
  <c r="I284" i="1"/>
  <c r="CT283" i="1"/>
  <c r="CS283" i="1" s="1"/>
  <c r="CK283" i="1"/>
  <c r="CE283" i="1"/>
  <c r="CB283" i="1"/>
  <c r="BN283" i="1"/>
  <c r="BK283" i="1"/>
  <c r="BF283" i="1"/>
  <c r="BB283" i="1"/>
  <c r="AE283" i="1"/>
  <c r="U283" i="1"/>
  <c r="P283" i="1"/>
  <c r="I283" i="1"/>
  <c r="CT282" i="1"/>
  <c r="CS282" i="1" s="1"/>
  <c r="CK282" i="1"/>
  <c r="CE282" i="1"/>
  <c r="CB282" i="1"/>
  <c r="BN282" i="1"/>
  <c r="BK282" i="1"/>
  <c r="BF282" i="1"/>
  <c r="BB282" i="1"/>
  <c r="AE282" i="1"/>
  <c r="U282" i="1"/>
  <c r="P282" i="1"/>
  <c r="I282" i="1"/>
  <c r="CT281" i="1"/>
  <c r="CS281" i="1" s="1"/>
  <c r="CK281" i="1"/>
  <c r="CE281" i="1"/>
  <c r="CB281" i="1"/>
  <c r="BN281" i="1"/>
  <c r="BK281" i="1"/>
  <c r="BF281" i="1"/>
  <c r="BB281" i="1"/>
  <c r="AE281" i="1"/>
  <c r="U281" i="1"/>
  <c r="P281" i="1"/>
  <c r="I281" i="1"/>
  <c r="CT280" i="1"/>
  <c r="CS280" i="1" s="1"/>
  <c r="CK280" i="1"/>
  <c r="CE280" i="1"/>
  <c r="CB280" i="1"/>
  <c r="BN280" i="1"/>
  <c r="BK280" i="1"/>
  <c r="BF280" i="1"/>
  <c r="BB280" i="1"/>
  <c r="AE280" i="1"/>
  <c r="U280" i="1"/>
  <c r="P280" i="1"/>
  <c r="I280" i="1"/>
  <c r="AZ279" i="1"/>
  <c r="CO271" i="1"/>
  <c r="CA284" i="1" l="1"/>
  <c r="BA285" i="1"/>
  <c r="F284" i="1"/>
  <c r="F283" i="1"/>
  <c r="F285" i="1"/>
  <c r="CA281" i="1"/>
  <c r="CA283" i="1"/>
  <c r="BA284" i="1"/>
  <c r="F281" i="1"/>
  <c r="CA280" i="1"/>
  <c r="CA282" i="1"/>
  <c r="CA285" i="1"/>
  <c r="F282" i="1"/>
  <c r="BA280" i="1"/>
  <c r="F280" i="1"/>
  <c r="BA282" i="1"/>
  <c r="BA283" i="1"/>
  <c r="BA281" i="1"/>
  <c r="BZ283" i="1" l="1"/>
  <c r="BZ281" i="1"/>
  <c r="BZ285" i="1"/>
  <c r="BZ280" i="1"/>
  <c r="E285" i="1"/>
  <c r="D285" i="1" s="1"/>
  <c r="BZ282" i="1"/>
  <c r="E280" i="1"/>
  <c r="D280" i="1" s="1"/>
  <c r="E283" i="1"/>
  <c r="E284" i="1"/>
  <c r="BZ284" i="1"/>
  <c r="E281" i="1"/>
  <c r="E282" i="1"/>
  <c r="CO269" i="1"/>
  <c r="CO268" i="1"/>
  <c r="CT268" i="1"/>
  <c r="CS268" i="1" s="1"/>
  <c r="CK268" i="1"/>
  <c r="CE268" i="1"/>
  <c r="CB268" i="1"/>
  <c r="BN268" i="1"/>
  <c r="BK268" i="1"/>
  <c r="BF268" i="1"/>
  <c r="BB268" i="1"/>
  <c r="AE268" i="1"/>
  <c r="U268" i="1"/>
  <c r="P268" i="1"/>
  <c r="I268" i="1"/>
  <c r="CO266" i="1"/>
  <c r="CO258" i="1"/>
  <c r="D282" i="1" l="1"/>
  <c r="D283" i="1"/>
  <c r="D281" i="1"/>
  <c r="D284" i="1"/>
  <c r="F268" i="1"/>
  <c r="CA268" i="1"/>
  <c r="BZ268" i="1" s="1"/>
  <c r="BA268" i="1"/>
  <c r="CO256" i="1"/>
  <c r="E268" i="1" l="1"/>
  <c r="D268" i="1" s="1"/>
  <c r="CT258" i="1" l="1"/>
  <c r="CS258" i="1" s="1"/>
  <c r="CK258" i="1"/>
  <c r="CE258" i="1"/>
  <c r="CB258" i="1"/>
  <c r="BN258" i="1"/>
  <c r="BK258" i="1"/>
  <c r="BF258" i="1"/>
  <c r="BB258" i="1"/>
  <c r="AE258" i="1"/>
  <c r="U258" i="1"/>
  <c r="P258" i="1"/>
  <c r="I258" i="1"/>
  <c r="AZ257" i="1"/>
  <c r="BI229" i="1"/>
  <c r="CK229" i="1"/>
  <c r="CE229" i="1"/>
  <c r="CB229" i="1"/>
  <c r="BN229" i="1"/>
  <c r="BK229" i="1"/>
  <c r="BF229" i="1"/>
  <c r="BB229" i="1"/>
  <c r="AE229" i="1"/>
  <c r="U229" i="1"/>
  <c r="P229" i="1"/>
  <c r="O229" i="1"/>
  <c r="I229" i="1"/>
  <c r="CD223" i="1"/>
  <c r="AZ223" i="1"/>
  <c r="AH223" i="1"/>
  <c r="CR221" i="1"/>
  <c r="BI211" i="1"/>
  <c r="BC210" i="1"/>
  <c r="AB198" i="1"/>
  <c r="CA258" i="1" l="1"/>
  <c r="CA229" i="1"/>
  <c r="BA229" i="1"/>
  <c r="F258" i="1"/>
  <c r="BA258" i="1"/>
  <c r="F229" i="1"/>
  <c r="E229" i="1" l="1"/>
  <c r="BZ229" i="1"/>
  <c r="BZ258" i="1"/>
  <c r="E258" i="1"/>
  <c r="AZ179" i="1"/>
  <c r="L179" i="1"/>
  <c r="D258" i="1" l="1"/>
  <c r="D229" i="1"/>
  <c r="BX175" i="1"/>
  <c r="BO175" i="1"/>
  <c r="BC95" i="1"/>
  <c r="N80" i="1"/>
  <c r="M80" i="1"/>
  <c r="BY70" i="1"/>
  <c r="BX70" i="1"/>
  <c r="CP277" i="1" l="1"/>
  <c r="CQ277" i="1"/>
  <c r="CR277" i="1"/>
  <c r="CP208" i="1"/>
  <c r="CQ208" i="1"/>
  <c r="CR208" i="1"/>
  <c r="CP174" i="1"/>
  <c r="CQ174" i="1"/>
  <c r="CR174" i="1"/>
  <c r="CP161" i="1"/>
  <c r="CQ161" i="1"/>
  <c r="CR161" i="1"/>
  <c r="CP152" i="1"/>
  <c r="CQ152" i="1"/>
  <c r="CR152" i="1"/>
  <c r="CP138" i="1"/>
  <c r="CQ138" i="1"/>
  <c r="CR138" i="1"/>
  <c r="CP117" i="1"/>
  <c r="CQ117" i="1"/>
  <c r="CR117" i="1"/>
  <c r="CP106" i="1"/>
  <c r="CQ106" i="1"/>
  <c r="CR106" i="1"/>
  <c r="CP99" i="1"/>
  <c r="CQ99" i="1"/>
  <c r="CR99" i="1"/>
  <c r="CP96" i="1"/>
  <c r="CQ96" i="1"/>
  <c r="CR96" i="1"/>
  <c r="CP93" i="1"/>
  <c r="CQ93" i="1"/>
  <c r="CR93" i="1"/>
  <c r="CP81" i="1"/>
  <c r="CQ81" i="1"/>
  <c r="CR81" i="1"/>
  <c r="CP63" i="1"/>
  <c r="CQ63" i="1"/>
  <c r="CR63" i="1"/>
  <c r="CP58" i="1"/>
  <c r="CQ58" i="1"/>
  <c r="CR58" i="1"/>
  <c r="CP55" i="1"/>
  <c r="CQ55" i="1"/>
  <c r="CR55" i="1"/>
  <c r="CP44" i="1"/>
  <c r="CQ44" i="1"/>
  <c r="CR44" i="1"/>
  <c r="CP12" i="1"/>
  <c r="CQ12" i="1"/>
  <c r="CR12" i="1"/>
  <c r="CN218" i="1"/>
  <c r="CR218" i="1"/>
  <c r="CQ221" i="1"/>
  <c r="CP221" i="1" l="1"/>
  <c r="CR212" i="1"/>
  <c r="CR305" i="1" s="1"/>
  <c r="CQ218" i="1"/>
  <c r="CU13" i="1"/>
  <c r="CV13" i="1"/>
  <c r="CT14" i="1"/>
  <c r="CT13" i="1" s="1"/>
  <c r="CU15" i="1"/>
  <c r="CV15" i="1"/>
  <c r="CT16" i="1"/>
  <c r="CT17" i="1"/>
  <c r="CS17" i="1" s="1"/>
  <c r="CT18" i="1"/>
  <c r="CS18" i="1" s="1"/>
  <c r="CU19" i="1"/>
  <c r="CV19" i="1"/>
  <c r="CT20" i="1"/>
  <c r="CS20" i="1" s="1"/>
  <c r="CT21" i="1"/>
  <c r="CS21" i="1" s="1"/>
  <c r="CT22" i="1"/>
  <c r="CS22" i="1" s="1"/>
  <c r="CT23" i="1"/>
  <c r="CS23" i="1" s="1"/>
  <c r="CT24" i="1"/>
  <c r="CS24" i="1" s="1"/>
  <c r="CT25" i="1"/>
  <c r="CS25" i="1" s="1"/>
  <c r="CT26" i="1"/>
  <c r="CS26" i="1" s="1"/>
  <c r="CT27" i="1"/>
  <c r="CS27" i="1" s="1"/>
  <c r="CT28" i="1"/>
  <c r="CS28" i="1" s="1"/>
  <c r="CT29" i="1"/>
  <c r="CS29" i="1" s="1"/>
  <c r="CT30" i="1"/>
  <c r="CS30" i="1" s="1"/>
  <c r="CT31" i="1"/>
  <c r="CS31" i="1" s="1"/>
  <c r="CT32" i="1"/>
  <c r="CS32" i="1" s="1"/>
  <c r="CU33" i="1"/>
  <c r="CV33" i="1"/>
  <c r="CT34" i="1"/>
  <c r="CT33" i="1" s="1"/>
  <c r="CU35" i="1"/>
  <c r="CV35" i="1"/>
  <c r="CT36" i="1"/>
  <c r="CT37" i="1"/>
  <c r="CS37" i="1" s="1"/>
  <c r="CT38" i="1"/>
  <c r="CS38" i="1" s="1"/>
  <c r="CT39" i="1"/>
  <c r="CS39" i="1" s="1"/>
  <c r="CU40" i="1"/>
  <c r="CV40" i="1"/>
  <c r="CT41" i="1"/>
  <c r="CT40" i="1" s="1"/>
  <c r="CU42" i="1"/>
  <c r="CV42" i="1"/>
  <c r="CT43" i="1"/>
  <c r="CT42" i="1" s="1"/>
  <c r="CU45" i="1"/>
  <c r="CV45" i="1"/>
  <c r="CT46" i="1"/>
  <c r="CS46" i="1" s="1"/>
  <c r="CS45" i="1" s="1"/>
  <c r="CU47" i="1"/>
  <c r="CV47" i="1"/>
  <c r="CT48" i="1"/>
  <c r="CT47" i="1" s="1"/>
  <c r="CU49" i="1"/>
  <c r="CV49" i="1"/>
  <c r="CT50" i="1"/>
  <c r="CT49" i="1" s="1"/>
  <c r="CU51" i="1"/>
  <c r="CV51" i="1"/>
  <c r="CT52" i="1"/>
  <c r="CS52" i="1" s="1"/>
  <c r="CS51" i="1" s="1"/>
  <c r="CU53" i="1"/>
  <c r="CV53" i="1"/>
  <c r="CT54" i="1"/>
  <c r="CS54" i="1" s="1"/>
  <c r="CS53" i="1" s="1"/>
  <c r="CU56" i="1"/>
  <c r="CU55" i="1" s="1"/>
  <c r="CV56" i="1"/>
  <c r="CV55" i="1" s="1"/>
  <c r="CT57" i="1"/>
  <c r="CS57" i="1" s="1"/>
  <c r="CS56" i="1" s="1"/>
  <c r="CS55" i="1" s="1"/>
  <c r="CU59" i="1"/>
  <c r="CV59" i="1"/>
  <c r="CT60" i="1"/>
  <c r="CT59" i="1" s="1"/>
  <c r="CU61" i="1"/>
  <c r="CV61" i="1"/>
  <c r="CT62" i="1"/>
  <c r="CS62" i="1" s="1"/>
  <c r="CS61" i="1" s="1"/>
  <c r="CU64" i="1"/>
  <c r="CV64" i="1"/>
  <c r="CT65" i="1"/>
  <c r="CT64" i="1" s="1"/>
  <c r="CU66" i="1"/>
  <c r="CV66" i="1"/>
  <c r="CT67" i="1"/>
  <c r="CS67" i="1" s="1"/>
  <c r="CT68" i="1"/>
  <c r="CS68" i="1" s="1"/>
  <c r="CU69" i="1"/>
  <c r="CV69" i="1"/>
  <c r="CT70" i="1"/>
  <c r="CS70" i="1" s="1"/>
  <c r="CS69" i="1" s="1"/>
  <c r="CU71" i="1"/>
  <c r="CV71" i="1"/>
  <c r="CT72" i="1"/>
  <c r="CS72" i="1" s="1"/>
  <c r="CS71" i="1" s="1"/>
  <c r="CU73" i="1"/>
  <c r="CV73" i="1"/>
  <c r="CT74" i="1"/>
  <c r="CT73" i="1" s="1"/>
  <c r="CU75" i="1"/>
  <c r="CV75" i="1"/>
  <c r="CT76" i="1"/>
  <c r="CT75" i="1" s="1"/>
  <c r="CU77" i="1"/>
  <c r="CV77" i="1"/>
  <c r="CT78" i="1"/>
  <c r="CS78" i="1" s="1"/>
  <c r="CS77" i="1" s="1"/>
  <c r="CU79" i="1"/>
  <c r="CV79" i="1"/>
  <c r="CT80" i="1"/>
  <c r="CS80" i="1" s="1"/>
  <c r="CS79" i="1" s="1"/>
  <c r="CU82" i="1"/>
  <c r="CV82" i="1"/>
  <c r="CT83" i="1"/>
  <c r="CS83" i="1" s="1"/>
  <c r="CT84" i="1"/>
  <c r="CS84" i="1" s="1"/>
  <c r="CU85" i="1"/>
  <c r="CV85" i="1"/>
  <c r="CT86" i="1"/>
  <c r="CS86" i="1" s="1"/>
  <c r="CT87" i="1"/>
  <c r="CS87" i="1" s="1"/>
  <c r="CT88" i="1"/>
  <c r="CS88" i="1" s="1"/>
  <c r="CT89" i="1"/>
  <c r="CS89" i="1" s="1"/>
  <c r="CT90" i="1"/>
  <c r="CS90" i="1" s="1"/>
  <c r="CT91" i="1"/>
  <c r="CS91" i="1" s="1"/>
  <c r="CT92" i="1"/>
  <c r="CS92" i="1" s="1"/>
  <c r="CU94" i="1"/>
  <c r="CU93" i="1" s="1"/>
  <c r="CV94" i="1"/>
  <c r="CV93" i="1" s="1"/>
  <c r="CT95" i="1"/>
  <c r="CS95" i="1" s="1"/>
  <c r="CS94" i="1" s="1"/>
  <c r="CS93" i="1" s="1"/>
  <c r="CU97" i="1"/>
  <c r="CU96" i="1" s="1"/>
  <c r="CV97" i="1"/>
  <c r="CV96" i="1" s="1"/>
  <c r="CT98" i="1"/>
  <c r="CS98" i="1" s="1"/>
  <c r="CS97" i="1" s="1"/>
  <c r="CS96" i="1" s="1"/>
  <c r="CU100" i="1"/>
  <c r="CV100" i="1"/>
  <c r="CT101" i="1"/>
  <c r="CT100" i="1" s="1"/>
  <c r="CU102" i="1"/>
  <c r="CV102" i="1"/>
  <c r="CT103" i="1"/>
  <c r="CS103" i="1" s="1"/>
  <c r="CS102" i="1" s="1"/>
  <c r="CU104" i="1"/>
  <c r="CV104" i="1"/>
  <c r="CT105" i="1"/>
  <c r="CS105" i="1" s="1"/>
  <c r="CS104" i="1" s="1"/>
  <c r="CU107" i="1"/>
  <c r="CV107" i="1"/>
  <c r="CT108" i="1"/>
  <c r="CS108" i="1" s="1"/>
  <c r="CT109" i="1"/>
  <c r="CS109" i="1" s="1"/>
  <c r="CU110" i="1"/>
  <c r="CV110" i="1"/>
  <c r="CT111" i="1"/>
  <c r="CS111" i="1" s="1"/>
  <c r="CS110" i="1" s="1"/>
  <c r="CU112" i="1"/>
  <c r="CV112" i="1"/>
  <c r="CT113" i="1"/>
  <c r="CS113" i="1" s="1"/>
  <c r="CT114" i="1"/>
  <c r="CS114" i="1" s="1"/>
  <c r="CU115" i="1"/>
  <c r="CV115" i="1"/>
  <c r="CT116" i="1"/>
  <c r="CS116" i="1" s="1"/>
  <c r="CS115" i="1" s="1"/>
  <c r="CU118" i="1"/>
  <c r="CV118" i="1"/>
  <c r="CT119" i="1"/>
  <c r="CS119" i="1" s="1"/>
  <c r="CT120" i="1"/>
  <c r="CS120" i="1" s="1"/>
  <c r="CT121" i="1"/>
  <c r="CS121" i="1" s="1"/>
  <c r="CU122" i="1"/>
  <c r="CV122" i="1"/>
  <c r="CT123" i="1"/>
  <c r="CT124" i="1"/>
  <c r="CS124" i="1" s="1"/>
  <c r="CT125" i="1"/>
  <c r="CS125" i="1" s="1"/>
  <c r="CU126" i="1"/>
  <c r="CV126" i="1"/>
  <c r="CT127" i="1"/>
  <c r="CT128" i="1"/>
  <c r="CS128" i="1" s="1"/>
  <c r="CT129" i="1"/>
  <c r="CS129" i="1" s="1"/>
  <c r="CU130" i="1"/>
  <c r="CV130" i="1"/>
  <c r="CT131" i="1"/>
  <c r="CS131" i="1" s="1"/>
  <c r="CS130" i="1" s="1"/>
  <c r="CU132" i="1"/>
  <c r="CV132" i="1"/>
  <c r="CT133" i="1"/>
  <c r="CT132" i="1" s="1"/>
  <c r="CU134" i="1"/>
  <c r="CV134" i="1"/>
  <c r="CT135" i="1"/>
  <c r="CT136" i="1"/>
  <c r="CS136" i="1" s="1"/>
  <c r="CT137" i="1"/>
  <c r="CS137" i="1" s="1"/>
  <c r="CU139" i="1"/>
  <c r="CV139" i="1"/>
  <c r="CT140" i="1"/>
  <c r="CS140" i="1" s="1"/>
  <c r="CT141" i="1"/>
  <c r="CS141" i="1" s="1"/>
  <c r="CT142" i="1"/>
  <c r="CS142" i="1" s="1"/>
  <c r="CU143" i="1"/>
  <c r="CV143" i="1"/>
  <c r="CT144" i="1"/>
  <c r="CT145" i="1"/>
  <c r="CS145" i="1" s="1"/>
  <c r="CU146" i="1"/>
  <c r="CV146" i="1"/>
  <c r="CT147" i="1"/>
  <c r="CT148" i="1"/>
  <c r="CS148" i="1" s="1"/>
  <c r="CT149" i="1"/>
  <c r="CS149" i="1" s="1"/>
  <c r="CT150" i="1"/>
  <c r="CS150" i="1" s="1"/>
  <c r="CT151" i="1"/>
  <c r="CS151" i="1" s="1"/>
  <c r="CU153" i="1"/>
  <c r="CV153" i="1"/>
  <c r="CT154" i="1"/>
  <c r="CS154" i="1" s="1"/>
  <c r="CT155" i="1"/>
  <c r="CS155" i="1" s="1"/>
  <c r="CU156" i="1"/>
  <c r="CV156" i="1"/>
  <c r="CT157" i="1"/>
  <c r="CT158" i="1"/>
  <c r="CS158" i="1" s="1"/>
  <c r="CU159" i="1"/>
  <c r="CV159" i="1"/>
  <c r="CT160" i="1"/>
  <c r="CT159" i="1" s="1"/>
  <c r="CU162" i="1"/>
  <c r="CV162" i="1"/>
  <c r="CT163" i="1"/>
  <c r="CS163" i="1" s="1"/>
  <c r="CS162" i="1" s="1"/>
  <c r="CU164" i="1"/>
  <c r="CV164" i="1"/>
  <c r="CT165" i="1"/>
  <c r="CT166" i="1"/>
  <c r="CS166" i="1" s="1"/>
  <c r="CU167" i="1"/>
  <c r="CV167" i="1"/>
  <c r="CT168" i="1"/>
  <c r="CT169" i="1"/>
  <c r="CS169" i="1" s="1"/>
  <c r="CU170" i="1"/>
  <c r="CV170" i="1"/>
  <c r="CT171" i="1"/>
  <c r="CT170" i="1" s="1"/>
  <c r="CU172" i="1"/>
  <c r="CV172" i="1"/>
  <c r="CT173" i="1"/>
  <c r="CT172" i="1" s="1"/>
  <c r="CT175" i="1"/>
  <c r="CS175" i="1" s="1"/>
  <c r="CT176" i="1"/>
  <c r="CS176" i="1" s="1"/>
  <c r="CU177" i="1"/>
  <c r="CV177" i="1"/>
  <c r="CT178" i="1"/>
  <c r="CS178" i="1" s="1"/>
  <c r="CT179" i="1"/>
  <c r="CS179" i="1" s="1"/>
  <c r="CT180" i="1"/>
  <c r="CS180" i="1" s="1"/>
  <c r="CU181" i="1"/>
  <c r="CV181" i="1"/>
  <c r="CT182" i="1"/>
  <c r="CT181" i="1" s="1"/>
  <c r="CU183" i="1"/>
  <c r="CV183" i="1"/>
  <c r="CT184" i="1"/>
  <c r="CS184" i="1" s="1"/>
  <c r="CS183" i="1" s="1"/>
  <c r="CU185" i="1"/>
  <c r="CV185" i="1"/>
  <c r="CT186" i="1"/>
  <c r="CS186" i="1" s="1"/>
  <c r="CS185" i="1" s="1"/>
  <c r="CU187" i="1"/>
  <c r="CV187" i="1"/>
  <c r="CT188" i="1"/>
  <c r="CT187" i="1" s="1"/>
  <c r="CU189" i="1"/>
  <c r="CV189" i="1"/>
  <c r="CT190" i="1"/>
  <c r="CT191" i="1"/>
  <c r="CS191" i="1" s="1"/>
  <c r="CT192" i="1"/>
  <c r="CS192" i="1" s="1"/>
  <c r="CT193" i="1"/>
  <c r="CS193" i="1" s="1"/>
  <c r="CT194" i="1"/>
  <c r="CS194" i="1" s="1"/>
  <c r="CT195" i="1"/>
  <c r="CS195" i="1" s="1"/>
  <c r="CT196" i="1"/>
  <c r="CS196" i="1" s="1"/>
  <c r="CU197" i="1"/>
  <c r="CV197" i="1"/>
  <c r="CT198" i="1"/>
  <c r="CT199" i="1"/>
  <c r="CS199" i="1" s="1"/>
  <c r="CT200" i="1"/>
  <c r="CS200" i="1" s="1"/>
  <c r="CT201" i="1"/>
  <c r="CS201" i="1" s="1"/>
  <c r="CT202" i="1"/>
  <c r="CS202" i="1" s="1"/>
  <c r="CT203" i="1"/>
  <c r="CS203" i="1" s="1"/>
  <c r="CT204" i="1"/>
  <c r="CS204" i="1" s="1"/>
  <c r="CT205" i="1"/>
  <c r="CS205" i="1" s="1"/>
  <c r="CT206" i="1"/>
  <c r="CS206" i="1" s="1"/>
  <c r="CT207" i="1"/>
  <c r="CS207" i="1" s="1"/>
  <c r="CU209" i="1"/>
  <c r="CU208" i="1" s="1"/>
  <c r="CV209" i="1"/>
  <c r="CV208" i="1" s="1"/>
  <c r="CT210" i="1"/>
  <c r="CS210" i="1" s="1"/>
  <c r="CT211" i="1"/>
  <c r="CS211" i="1" s="1"/>
  <c r="CU213" i="1"/>
  <c r="CV213" i="1"/>
  <c r="CT214" i="1"/>
  <c r="CT213" i="1" s="1"/>
  <c r="CU215" i="1"/>
  <c r="CV215" i="1"/>
  <c r="CT217" i="1"/>
  <c r="CT215" i="1" s="1"/>
  <c r="CT219" i="1"/>
  <c r="CS219" i="1" s="1"/>
  <c r="CT220" i="1"/>
  <c r="CS220" i="1" s="1"/>
  <c r="CT221" i="1"/>
  <c r="CS221" i="1" s="1"/>
  <c r="CT222" i="1"/>
  <c r="CS222" i="1" s="1"/>
  <c r="CT223" i="1"/>
  <c r="CS223" i="1" s="1"/>
  <c r="CT224" i="1"/>
  <c r="CS224" i="1" s="1"/>
  <c r="CT225" i="1"/>
  <c r="CS225" i="1" s="1"/>
  <c r="CT226" i="1"/>
  <c r="CS226" i="1" s="1"/>
  <c r="CT227" i="1"/>
  <c r="CS227" i="1" s="1"/>
  <c r="CT228" i="1"/>
  <c r="CS228" i="1" s="1"/>
  <c r="CT230" i="1"/>
  <c r="CS230" i="1" s="1"/>
  <c r="CU231" i="1"/>
  <c r="CU218" i="1" s="1"/>
  <c r="CV231" i="1"/>
  <c r="CV218" i="1" s="1"/>
  <c r="CT232" i="1"/>
  <c r="CT233" i="1"/>
  <c r="CS233" i="1" s="1"/>
  <c r="CT234" i="1"/>
  <c r="CS234" i="1" s="1"/>
  <c r="CT235" i="1"/>
  <c r="CS235" i="1" s="1"/>
  <c r="CT236" i="1"/>
  <c r="CS236" i="1" s="1"/>
  <c r="CT237" i="1"/>
  <c r="CS237" i="1" s="1"/>
  <c r="CT238" i="1"/>
  <c r="CS238" i="1" s="1"/>
  <c r="CT239" i="1"/>
  <c r="CS239" i="1" s="1"/>
  <c r="CT240" i="1"/>
  <c r="CS240" i="1" s="1"/>
  <c r="CT241" i="1"/>
  <c r="CS241" i="1" s="1"/>
  <c r="CT242" i="1"/>
  <c r="CS242" i="1" s="1"/>
  <c r="CT243" i="1"/>
  <c r="CS243" i="1" s="1"/>
  <c r="CT244" i="1"/>
  <c r="CS244" i="1" s="1"/>
  <c r="CT245" i="1"/>
  <c r="CS245" i="1" s="1"/>
  <c r="CT246" i="1"/>
  <c r="CS246" i="1" s="1"/>
  <c r="CT247" i="1"/>
  <c r="CS247" i="1" s="1"/>
  <c r="CT248" i="1"/>
  <c r="CS248" i="1" s="1"/>
  <c r="CT249" i="1"/>
  <c r="CS249" i="1" s="1"/>
  <c r="CT250" i="1"/>
  <c r="CS250" i="1" s="1"/>
  <c r="CT251" i="1"/>
  <c r="CS251" i="1" s="1"/>
  <c r="CT252" i="1"/>
  <c r="CS252" i="1" s="1"/>
  <c r="CT253" i="1"/>
  <c r="CS253" i="1" s="1"/>
  <c r="CT254" i="1"/>
  <c r="CS254" i="1" s="1"/>
  <c r="CT255" i="1"/>
  <c r="CS255" i="1" s="1"/>
  <c r="CU256" i="1"/>
  <c r="CV256" i="1"/>
  <c r="CT257" i="1"/>
  <c r="CS257" i="1" s="1"/>
  <c r="CT259" i="1"/>
  <c r="CS259" i="1" s="1"/>
  <c r="CT260" i="1"/>
  <c r="CS260" i="1" s="1"/>
  <c r="CT261" i="1"/>
  <c r="CS261" i="1" s="1"/>
  <c r="CT262" i="1"/>
  <c r="CS262" i="1" s="1"/>
  <c r="CT263" i="1"/>
  <c r="CS263" i="1" s="1"/>
  <c r="CT264" i="1"/>
  <c r="CS264" i="1" s="1"/>
  <c r="CT265" i="1"/>
  <c r="CS265" i="1" s="1"/>
  <c r="CT266" i="1"/>
  <c r="CS266" i="1" s="1"/>
  <c r="CT267" i="1"/>
  <c r="CS267" i="1" s="1"/>
  <c r="CT269" i="1"/>
  <c r="CS269" i="1" s="1"/>
  <c r="CU270" i="1"/>
  <c r="CV270" i="1"/>
  <c r="CT271" i="1"/>
  <c r="CS271" i="1" s="1"/>
  <c r="CS270" i="1" s="1"/>
  <c r="CU272" i="1"/>
  <c r="CV272" i="1"/>
  <c r="CT273" i="1"/>
  <c r="CS273" i="1" s="1"/>
  <c r="CS272" i="1" s="1"/>
  <c r="CU275" i="1"/>
  <c r="CU274" i="1" s="1"/>
  <c r="CV275" i="1"/>
  <c r="CV274" i="1" s="1"/>
  <c r="CT276" i="1"/>
  <c r="CS276" i="1" s="1"/>
  <c r="CS275" i="1" s="1"/>
  <c r="CS274" i="1" s="1"/>
  <c r="CU278" i="1"/>
  <c r="CV278" i="1"/>
  <c r="CT279" i="1"/>
  <c r="CT286" i="1"/>
  <c r="CS286" i="1" s="1"/>
  <c r="CT287" i="1"/>
  <c r="CS287" i="1" s="1"/>
  <c r="CT288" i="1"/>
  <c r="CS288" i="1" s="1"/>
  <c r="CT289" i="1"/>
  <c r="CS289" i="1" s="1"/>
  <c r="CU290" i="1"/>
  <c r="CV290" i="1"/>
  <c r="CT291" i="1"/>
  <c r="CS291" i="1" s="1"/>
  <c r="CS290" i="1" s="1"/>
  <c r="CT293" i="1"/>
  <c r="CU295" i="1"/>
  <c r="CV295" i="1"/>
  <c r="CT296" i="1"/>
  <c r="CT295" i="1" s="1"/>
  <c r="CU297" i="1"/>
  <c r="CV297" i="1"/>
  <c r="CT298" i="1"/>
  <c r="CT297" i="1" s="1"/>
  <c r="CU299" i="1"/>
  <c r="CV299" i="1"/>
  <c r="CT300" i="1"/>
  <c r="CS300" i="1" s="1"/>
  <c r="CS299" i="1" s="1"/>
  <c r="CU301" i="1"/>
  <c r="CV301" i="1"/>
  <c r="CT302" i="1"/>
  <c r="CS302" i="1" s="1"/>
  <c r="CS301" i="1" s="1"/>
  <c r="CU303" i="1"/>
  <c r="CV303" i="1"/>
  <c r="CT304" i="1"/>
  <c r="CT303" i="1" s="1"/>
  <c r="CQ212" i="1" l="1"/>
  <c r="CP218" i="1"/>
  <c r="CS293" i="1"/>
  <c r="CS292" i="1" s="1"/>
  <c r="CT292" i="1"/>
  <c r="CT143" i="1"/>
  <c r="CS74" i="1"/>
  <c r="CS73" i="1" s="1"/>
  <c r="CS112" i="1"/>
  <c r="CT153" i="1"/>
  <c r="CT15" i="1"/>
  <c r="CS82" i="1"/>
  <c r="CU58" i="1"/>
  <c r="CU99" i="1"/>
  <c r="CU63" i="1"/>
  <c r="CU212" i="1"/>
  <c r="CS304" i="1"/>
  <c r="CS303" i="1" s="1"/>
  <c r="CV174" i="1"/>
  <c r="CV138" i="1"/>
  <c r="CS41" i="1"/>
  <c r="CS40" i="1" s="1"/>
  <c r="CS188" i="1"/>
  <c r="CS187" i="1" s="1"/>
  <c r="CT156" i="1"/>
  <c r="CU138" i="1"/>
  <c r="CU106" i="1"/>
  <c r="CV277" i="1"/>
  <c r="CU117" i="1"/>
  <c r="CU277" i="1"/>
  <c r="CT197" i="1"/>
  <c r="CT122" i="1"/>
  <c r="CT278" i="1"/>
  <c r="CV161" i="1"/>
  <c r="CS157" i="1"/>
  <c r="CS156" i="1" s="1"/>
  <c r="CV117" i="1"/>
  <c r="CS296" i="1"/>
  <c r="CS295" i="1" s="1"/>
  <c r="CS198" i="1"/>
  <c r="CS197" i="1" s="1"/>
  <c r="CU174" i="1"/>
  <c r="CS171" i="1"/>
  <c r="CS170" i="1" s="1"/>
  <c r="CS133" i="1"/>
  <c r="CS132" i="1" s="1"/>
  <c r="CT126" i="1"/>
  <c r="CV44" i="1"/>
  <c r="CT35" i="1"/>
  <c r="CU161" i="1"/>
  <c r="CT164" i="1"/>
  <c r="CS160" i="1"/>
  <c r="CS159" i="1" s="1"/>
  <c r="CS127" i="1"/>
  <c r="CS126" i="1" s="1"/>
  <c r="CU44" i="1"/>
  <c r="CS36" i="1"/>
  <c r="CS35" i="1" s="1"/>
  <c r="CS14" i="1"/>
  <c r="CS13" i="1" s="1"/>
  <c r="CT270" i="1"/>
  <c r="CS165" i="1"/>
  <c r="CS164" i="1" s="1"/>
  <c r="CV12" i="1"/>
  <c r="CT189" i="1"/>
  <c r="CT146" i="1"/>
  <c r="CV81" i="1"/>
  <c r="CS43" i="1"/>
  <c r="CS42" i="1" s="1"/>
  <c r="CU12" i="1"/>
  <c r="CT231" i="1"/>
  <c r="CT218" i="1" s="1"/>
  <c r="CT167" i="1"/>
  <c r="CV152" i="1"/>
  <c r="CT134" i="1"/>
  <c r="CV106" i="1"/>
  <c r="CU81" i="1"/>
  <c r="CV58" i="1"/>
  <c r="CS48" i="1"/>
  <c r="CS47" i="1" s="1"/>
  <c r="CS214" i="1"/>
  <c r="CS213" i="1" s="1"/>
  <c r="CS168" i="1"/>
  <c r="CS167" i="1" s="1"/>
  <c r="CU152" i="1"/>
  <c r="CS118" i="1"/>
  <c r="CV99" i="1"/>
  <c r="CV63" i="1"/>
  <c r="CS34" i="1"/>
  <c r="CS33" i="1" s="1"/>
  <c r="CT19" i="1"/>
  <c r="CS16" i="1"/>
  <c r="CS15" i="1" s="1"/>
  <c r="CV212" i="1"/>
  <c r="CS177" i="1"/>
  <c r="CS139" i="1"/>
  <c r="CS85" i="1"/>
  <c r="CS19" i="1"/>
  <c r="CS256" i="1"/>
  <c r="CS209" i="1"/>
  <c r="CS208" i="1" s="1"/>
  <c r="CS66" i="1"/>
  <c r="CS153" i="1"/>
  <c r="CS107" i="1"/>
  <c r="CT299" i="1"/>
  <c r="CT290" i="1"/>
  <c r="CT275" i="1"/>
  <c r="CT274" i="1" s="1"/>
  <c r="CT209" i="1"/>
  <c r="CT208" i="1" s="1"/>
  <c r="CT183" i="1"/>
  <c r="CT177" i="1"/>
  <c r="CT139" i="1"/>
  <c r="CT118" i="1"/>
  <c r="CT110" i="1"/>
  <c r="CT107" i="1"/>
  <c r="CT102" i="1"/>
  <c r="CT97" i="1"/>
  <c r="CT96" i="1" s="1"/>
  <c r="CT85" i="1"/>
  <c r="CT82" i="1"/>
  <c r="CT77" i="1"/>
  <c r="CT69" i="1"/>
  <c r="CT66" i="1"/>
  <c r="CT61" i="1"/>
  <c r="CT58" i="1" s="1"/>
  <c r="CT56" i="1"/>
  <c r="CT55" i="1" s="1"/>
  <c r="CT51" i="1"/>
  <c r="CT301" i="1"/>
  <c r="CT272" i="1"/>
  <c r="CT256" i="1"/>
  <c r="CT185" i="1"/>
  <c r="CT162" i="1"/>
  <c r="CT130" i="1"/>
  <c r="CT115" i="1"/>
  <c r="CT112" i="1"/>
  <c r="CT104" i="1"/>
  <c r="CT94" i="1"/>
  <c r="CT93" i="1" s="1"/>
  <c r="CT79" i="1"/>
  <c r="CT71" i="1"/>
  <c r="CT53" i="1"/>
  <c r="CT45" i="1"/>
  <c r="CS298" i="1"/>
  <c r="CS297" i="1" s="1"/>
  <c r="CS279" i="1"/>
  <c r="CS278" i="1" s="1"/>
  <c r="CS232" i="1"/>
  <c r="CS231" i="1" s="1"/>
  <c r="CS218" i="1" s="1"/>
  <c r="CS217" i="1"/>
  <c r="CS215" i="1" s="1"/>
  <c r="CS190" i="1"/>
  <c r="CS189" i="1" s="1"/>
  <c r="CS182" i="1"/>
  <c r="CS181" i="1" s="1"/>
  <c r="CS173" i="1"/>
  <c r="CS172" i="1" s="1"/>
  <c r="CS147" i="1"/>
  <c r="CS146" i="1" s="1"/>
  <c r="CS144" i="1"/>
  <c r="CS143" i="1" s="1"/>
  <c r="CS135" i="1"/>
  <c r="CS134" i="1" s="1"/>
  <c r="CS123" i="1"/>
  <c r="CS122" i="1" s="1"/>
  <c r="CS101" i="1"/>
  <c r="CS100" i="1" s="1"/>
  <c r="CS99" i="1" s="1"/>
  <c r="CS76" i="1"/>
  <c r="CS75" i="1" s="1"/>
  <c r="CS65" i="1"/>
  <c r="CS64" i="1" s="1"/>
  <c r="CS60" i="1"/>
  <c r="CS59" i="1" s="1"/>
  <c r="CS58" i="1" s="1"/>
  <c r="CS50" i="1"/>
  <c r="CS49" i="1" s="1"/>
  <c r="CO278" i="1"/>
  <c r="CN278" i="1"/>
  <c r="CM278" i="1"/>
  <c r="CL278" i="1"/>
  <c r="CJ278" i="1"/>
  <c r="CI278" i="1"/>
  <c r="CH278" i="1"/>
  <c r="CG278" i="1"/>
  <c r="CF278" i="1"/>
  <c r="CD278" i="1"/>
  <c r="CC278" i="1"/>
  <c r="BY278" i="1"/>
  <c r="BX278" i="1"/>
  <c r="BW278" i="1"/>
  <c r="BV278" i="1"/>
  <c r="BU278" i="1"/>
  <c r="BT278" i="1"/>
  <c r="BS278" i="1"/>
  <c r="BR278" i="1"/>
  <c r="BQ278" i="1"/>
  <c r="BP278" i="1"/>
  <c r="BO278" i="1"/>
  <c r="BM278" i="1"/>
  <c r="BL278" i="1"/>
  <c r="BJ278" i="1"/>
  <c r="BI278" i="1"/>
  <c r="BH278" i="1"/>
  <c r="BG278" i="1"/>
  <c r="BE278" i="1"/>
  <c r="BD278" i="1"/>
  <c r="BC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D278" i="1"/>
  <c r="AC278" i="1"/>
  <c r="AB278" i="1"/>
  <c r="AA278" i="1"/>
  <c r="Z278" i="1"/>
  <c r="Y278" i="1"/>
  <c r="X278" i="1"/>
  <c r="W278" i="1"/>
  <c r="V278" i="1"/>
  <c r="T278" i="1"/>
  <c r="S278" i="1"/>
  <c r="R278" i="1"/>
  <c r="Q278" i="1"/>
  <c r="O278" i="1"/>
  <c r="N278" i="1"/>
  <c r="M278" i="1"/>
  <c r="L278" i="1"/>
  <c r="K278" i="1"/>
  <c r="J278" i="1"/>
  <c r="H278" i="1"/>
  <c r="G278" i="1"/>
  <c r="CK289" i="1"/>
  <c r="CE289" i="1"/>
  <c r="CB289" i="1"/>
  <c r="BN289" i="1"/>
  <c r="BK289" i="1"/>
  <c r="BF289" i="1"/>
  <c r="BB289" i="1"/>
  <c r="AE289" i="1"/>
  <c r="U289" i="1"/>
  <c r="P289" i="1"/>
  <c r="I289" i="1"/>
  <c r="CD17" i="1"/>
  <c r="T17" i="1"/>
  <c r="V17" i="1"/>
  <c r="O17" i="1"/>
  <c r="N17" i="1"/>
  <c r="CS106" i="1" l="1"/>
  <c r="CP212" i="1"/>
  <c r="CQ305" i="1"/>
  <c r="CV305" i="1"/>
  <c r="CU305" i="1"/>
  <c r="CT152" i="1"/>
  <c r="CS81" i="1"/>
  <c r="CS44" i="1"/>
  <c r="CT12" i="1"/>
  <c r="CS117" i="1"/>
  <c r="CT161" i="1"/>
  <c r="CS12" i="1"/>
  <c r="CS212" i="1"/>
  <c r="CS161" i="1"/>
  <c r="CS174" i="1"/>
  <c r="CT81" i="1"/>
  <c r="CT174" i="1"/>
  <c r="CS277" i="1"/>
  <c r="CS152" i="1"/>
  <c r="CT99" i="1"/>
  <c r="CT212" i="1"/>
  <c r="CT63" i="1"/>
  <c r="CT117" i="1"/>
  <c r="CT138" i="1"/>
  <c r="CT44" i="1"/>
  <c r="CT106" i="1"/>
  <c r="CS63" i="1"/>
  <c r="CT277" i="1"/>
  <c r="CS138" i="1"/>
  <c r="BA289" i="1"/>
  <c r="CA289" i="1"/>
  <c r="F289" i="1"/>
  <c r="G52" i="1"/>
  <c r="BX193" i="1"/>
  <c r="AZ21" i="1"/>
  <c r="AR21" i="1"/>
  <c r="AH21" i="1"/>
  <c r="Z21" i="1"/>
  <c r="Y21" i="1"/>
  <c r="BZ289" i="1" l="1"/>
  <c r="CP305" i="1"/>
  <c r="CT305" i="1"/>
  <c r="CS305" i="1"/>
  <c r="E289" i="1"/>
  <c r="X21" i="1"/>
  <c r="W21" i="1"/>
  <c r="V21" i="1"/>
  <c r="T21" i="1"/>
  <c r="O21" i="1"/>
  <c r="D289" i="1" l="1"/>
  <c r="X27" i="1"/>
  <c r="H28" i="1"/>
  <c r="G28" i="1"/>
  <c r="CO215" i="1" l="1"/>
  <c r="CN215" i="1"/>
  <c r="CM215" i="1"/>
  <c r="CL215" i="1"/>
  <c r="CJ215" i="1"/>
  <c r="CI215" i="1"/>
  <c r="CH215" i="1"/>
  <c r="CG215" i="1"/>
  <c r="CF215" i="1"/>
  <c r="CD215" i="1"/>
  <c r="CC215" i="1"/>
  <c r="BY215" i="1"/>
  <c r="BX215" i="1"/>
  <c r="BW215" i="1"/>
  <c r="BV215" i="1"/>
  <c r="BU215" i="1"/>
  <c r="BT215" i="1"/>
  <c r="BS215" i="1"/>
  <c r="BR215" i="1"/>
  <c r="BQ215" i="1"/>
  <c r="BP215" i="1"/>
  <c r="BO215" i="1"/>
  <c r="BM215" i="1"/>
  <c r="BL215" i="1"/>
  <c r="BJ215" i="1"/>
  <c r="BI215" i="1"/>
  <c r="BH215" i="1"/>
  <c r="BG215" i="1"/>
  <c r="BE215" i="1"/>
  <c r="BD215" i="1"/>
  <c r="BC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D215" i="1"/>
  <c r="AC215" i="1"/>
  <c r="AB215" i="1"/>
  <c r="AA215" i="1"/>
  <c r="Z215" i="1"/>
  <c r="Y215" i="1"/>
  <c r="X215" i="1"/>
  <c r="W215" i="1"/>
  <c r="V215" i="1"/>
  <c r="T215" i="1"/>
  <c r="S215" i="1"/>
  <c r="R215" i="1"/>
  <c r="Q215" i="1"/>
  <c r="O215" i="1"/>
  <c r="N215" i="1"/>
  <c r="M215" i="1"/>
  <c r="L215" i="1"/>
  <c r="K215" i="1"/>
  <c r="J215" i="1"/>
  <c r="H215" i="1"/>
  <c r="G215" i="1"/>
  <c r="AE304" i="1"/>
  <c r="BN43" i="1"/>
  <c r="BN38" i="1"/>
  <c r="BN34" i="1"/>
  <c r="BN14" i="1"/>
  <c r="BN16" i="1"/>
  <c r="BP187" i="1"/>
  <c r="BK108" i="1"/>
  <c r="AE216" i="1"/>
  <c r="I216" i="1"/>
  <c r="F216" i="1" l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23" i="1"/>
  <c r="E216" i="1" l="1"/>
  <c r="T156" i="1"/>
  <c r="O156" i="1"/>
  <c r="N156" i="1"/>
  <c r="K79" i="1"/>
  <c r="L79" i="1"/>
  <c r="M79" i="1"/>
  <c r="N79" i="1"/>
  <c r="O79" i="1"/>
  <c r="J79" i="1"/>
  <c r="D216" i="1" l="1"/>
  <c r="AN156" i="1"/>
  <c r="CN295" i="1"/>
  <c r="BI227" i="1"/>
  <c r="BN74" i="1"/>
  <c r="O75" i="1"/>
  <c r="N75" i="1"/>
  <c r="G156" i="1"/>
  <c r="H156" i="1"/>
  <c r="BN17" i="1"/>
  <c r="BN18" i="1"/>
  <c r="I14" i="1"/>
  <c r="BN15" i="1" l="1"/>
  <c r="BF288" i="1" l="1"/>
  <c r="BF304" i="1"/>
  <c r="BJ303" i="1" l="1"/>
  <c r="BJ301" i="1"/>
  <c r="BJ299" i="1"/>
  <c r="BJ297" i="1"/>
  <c r="BJ295" i="1"/>
  <c r="BJ290" i="1"/>
  <c r="BJ275" i="1"/>
  <c r="BJ272" i="1"/>
  <c r="BJ270" i="1"/>
  <c r="BJ256" i="1"/>
  <c r="BJ231" i="1"/>
  <c r="BJ213" i="1"/>
  <c r="BJ209" i="1"/>
  <c r="BJ197" i="1"/>
  <c r="BJ189" i="1"/>
  <c r="BJ187" i="1"/>
  <c r="BJ185" i="1"/>
  <c r="BJ183" i="1"/>
  <c r="BJ181" i="1"/>
  <c r="BJ177" i="1"/>
  <c r="BJ172" i="1"/>
  <c r="BJ170" i="1"/>
  <c r="BJ167" i="1"/>
  <c r="BJ164" i="1"/>
  <c r="BJ162" i="1"/>
  <c r="BJ159" i="1"/>
  <c r="BJ156" i="1"/>
  <c r="BJ153" i="1"/>
  <c r="BJ146" i="1"/>
  <c r="BJ143" i="1"/>
  <c r="BJ139" i="1"/>
  <c r="BJ134" i="1"/>
  <c r="BJ132" i="1"/>
  <c r="BJ130" i="1"/>
  <c r="BJ126" i="1"/>
  <c r="BJ122" i="1"/>
  <c r="BJ118" i="1"/>
  <c r="BJ115" i="1"/>
  <c r="BJ112" i="1"/>
  <c r="BJ110" i="1"/>
  <c r="BJ107" i="1"/>
  <c r="BJ104" i="1"/>
  <c r="BJ102" i="1"/>
  <c r="BJ100" i="1"/>
  <c r="BJ97" i="1"/>
  <c r="BJ94" i="1"/>
  <c r="BJ85" i="1"/>
  <c r="BJ82" i="1"/>
  <c r="BJ79" i="1"/>
  <c r="BJ77" i="1"/>
  <c r="BJ75" i="1"/>
  <c r="BJ73" i="1"/>
  <c r="BJ71" i="1"/>
  <c r="BJ69" i="1"/>
  <c r="BJ66" i="1"/>
  <c r="BJ64" i="1"/>
  <c r="BJ61" i="1"/>
  <c r="BJ59" i="1"/>
  <c r="BJ56" i="1"/>
  <c r="BJ53" i="1"/>
  <c r="BJ51" i="1"/>
  <c r="BJ49" i="1"/>
  <c r="BJ47" i="1"/>
  <c r="BJ45" i="1"/>
  <c r="BJ42" i="1"/>
  <c r="BJ40" i="1"/>
  <c r="BJ35" i="1"/>
  <c r="BJ33" i="1"/>
  <c r="BJ19" i="1"/>
  <c r="BJ15" i="1"/>
  <c r="BJ13" i="1"/>
  <c r="I60" i="1"/>
  <c r="I62" i="1"/>
  <c r="BJ274" i="1" l="1"/>
  <c r="BJ93" i="1"/>
  <c r="BJ96" i="1"/>
  <c r="BJ208" i="1"/>
  <c r="BJ55" i="1"/>
  <c r="BJ218" i="1"/>
  <c r="BJ212" i="1" s="1"/>
  <c r="BJ58" i="1"/>
  <c r="BJ174" i="1"/>
  <c r="BJ99" i="1"/>
  <c r="BJ152" i="1"/>
  <c r="BJ277" i="1"/>
  <c r="BJ138" i="1"/>
  <c r="BJ12" i="1"/>
  <c r="BJ44" i="1"/>
  <c r="BJ63" i="1"/>
  <c r="BJ81" i="1"/>
  <c r="BJ106" i="1"/>
  <c r="BJ117" i="1"/>
  <c r="BJ161" i="1"/>
  <c r="BJ305" i="1" l="1"/>
  <c r="CK160" i="1"/>
  <c r="CE160" i="1"/>
  <c r="CB160" i="1"/>
  <c r="BN160" i="1"/>
  <c r="BK160" i="1"/>
  <c r="BF160" i="1"/>
  <c r="BB160" i="1"/>
  <c r="AE160" i="1"/>
  <c r="U160" i="1"/>
  <c r="P160" i="1"/>
  <c r="O160" i="1"/>
  <c r="CO159" i="1"/>
  <c r="CN159" i="1"/>
  <c r="CM159" i="1"/>
  <c r="CL159" i="1"/>
  <c r="CJ159" i="1"/>
  <c r="CI159" i="1"/>
  <c r="CH159" i="1"/>
  <c r="CG159" i="1"/>
  <c r="CF159" i="1"/>
  <c r="CD159" i="1"/>
  <c r="CC159" i="1"/>
  <c r="BY159" i="1"/>
  <c r="BX159" i="1"/>
  <c r="BW159" i="1"/>
  <c r="BV159" i="1"/>
  <c r="BU159" i="1"/>
  <c r="BT159" i="1"/>
  <c r="BS159" i="1"/>
  <c r="BR159" i="1"/>
  <c r="BQ159" i="1"/>
  <c r="BP159" i="1"/>
  <c r="BO159" i="1"/>
  <c r="BM159" i="1"/>
  <c r="BL159" i="1"/>
  <c r="BI159" i="1"/>
  <c r="BH159" i="1"/>
  <c r="BG159" i="1"/>
  <c r="BE159" i="1"/>
  <c r="BD159" i="1"/>
  <c r="BC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D159" i="1"/>
  <c r="AC159" i="1"/>
  <c r="AB159" i="1"/>
  <c r="AA159" i="1"/>
  <c r="Z159" i="1"/>
  <c r="Y159" i="1"/>
  <c r="X159" i="1"/>
  <c r="W159" i="1"/>
  <c r="V159" i="1"/>
  <c r="T159" i="1"/>
  <c r="S159" i="1"/>
  <c r="R159" i="1"/>
  <c r="Q159" i="1"/>
  <c r="N159" i="1"/>
  <c r="M159" i="1"/>
  <c r="L159" i="1"/>
  <c r="K159" i="1"/>
  <c r="J159" i="1"/>
  <c r="H159" i="1"/>
  <c r="G159" i="1"/>
  <c r="H13" i="1"/>
  <c r="G13" i="1"/>
  <c r="CK288" i="1"/>
  <c r="CE288" i="1"/>
  <c r="CB288" i="1"/>
  <c r="BN288" i="1"/>
  <c r="BK288" i="1"/>
  <c r="BB288" i="1"/>
  <c r="AE288" i="1"/>
  <c r="U288" i="1"/>
  <c r="P288" i="1"/>
  <c r="I288" i="1"/>
  <c r="AU152" i="1" l="1"/>
  <c r="BF159" i="1"/>
  <c r="CN152" i="1"/>
  <c r="BK159" i="1"/>
  <c r="BN159" i="1"/>
  <c r="AY152" i="1"/>
  <c r="I160" i="1"/>
  <c r="P159" i="1"/>
  <c r="CE159" i="1"/>
  <c r="U159" i="1"/>
  <c r="CK159" i="1"/>
  <c r="AT152" i="1"/>
  <c r="AE159" i="1"/>
  <c r="BA160" i="1"/>
  <c r="CA160" i="1"/>
  <c r="CA159" i="1" s="1"/>
  <c r="O159" i="1"/>
  <c r="CB159" i="1"/>
  <c r="BB159" i="1"/>
  <c r="BA288" i="1"/>
  <c r="CA288" i="1"/>
  <c r="F288" i="1"/>
  <c r="CK103" i="1"/>
  <c r="CE103" i="1"/>
  <c r="CB103" i="1"/>
  <c r="BN103" i="1"/>
  <c r="BK103" i="1"/>
  <c r="BF103" i="1"/>
  <c r="BB103" i="1"/>
  <c r="AE103" i="1"/>
  <c r="U103" i="1"/>
  <c r="P103" i="1"/>
  <c r="I103" i="1"/>
  <c r="CO102" i="1"/>
  <c r="CM102" i="1"/>
  <c r="CL102" i="1"/>
  <c r="CJ102" i="1"/>
  <c r="CI102" i="1"/>
  <c r="CH102" i="1"/>
  <c r="CG102" i="1"/>
  <c r="CF102" i="1"/>
  <c r="CD102" i="1"/>
  <c r="CC102" i="1"/>
  <c r="BY102" i="1"/>
  <c r="BX102" i="1"/>
  <c r="BW102" i="1"/>
  <c r="BV102" i="1"/>
  <c r="BU102" i="1"/>
  <c r="BT102" i="1"/>
  <c r="BS102" i="1"/>
  <c r="BR102" i="1"/>
  <c r="BQ102" i="1"/>
  <c r="BP102" i="1"/>
  <c r="BO102" i="1"/>
  <c r="BM102" i="1"/>
  <c r="BL102" i="1"/>
  <c r="BI102" i="1"/>
  <c r="BH102" i="1"/>
  <c r="BG102" i="1"/>
  <c r="BE102" i="1"/>
  <c r="BD102" i="1"/>
  <c r="BC102" i="1"/>
  <c r="AZ102" i="1"/>
  <c r="AX102" i="1"/>
  <c r="AW102" i="1"/>
  <c r="AV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G85" i="1"/>
  <c r="I102" i="1" l="1"/>
  <c r="CB102" i="1"/>
  <c r="P102" i="1"/>
  <c r="CE102" i="1"/>
  <c r="U102" i="1"/>
  <c r="CK102" i="1"/>
  <c r="AE102" i="1"/>
  <c r="BB102" i="1"/>
  <c r="BZ288" i="1"/>
  <c r="BZ160" i="1"/>
  <c r="BF102" i="1"/>
  <c r="BA159" i="1"/>
  <c r="BK102" i="1"/>
  <c r="I159" i="1"/>
  <c r="BN102" i="1"/>
  <c r="F160" i="1"/>
  <c r="F159" i="1" s="1"/>
  <c r="E288" i="1"/>
  <c r="BA103" i="1"/>
  <c r="F103" i="1"/>
  <c r="CA103" i="1"/>
  <c r="D288" i="1" l="1"/>
  <c r="CA102" i="1"/>
  <c r="BZ159" i="1"/>
  <c r="BA102" i="1"/>
  <c r="F102" i="1"/>
  <c r="E160" i="1"/>
  <c r="E159" i="1" s="1"/>
  <c r="E103" i="1"/>
  <c r="BZ103" i="1"/>
  <c r="D160" i="1" l="1"/>
  <c r="BZ102" i="1"/>
  <c r="E102" i="1"/>
  <c r="D159" i="1"/>
  <c r="D103" i="1"/>
  <c r="CO85" i="1"/>
  <c r="CN85" i="1"/>
  <c r="CM85" i="1"/>
  <c r="CL85" i="1"/>
  <c r="CJ85" i="1"/>
  <c r="CI85" i="1"/>
  <c r="CH85" i="1"/>
  <c r="CG85" i="1"/>
  <c r="CF85" i="1"/>
  <c r="CD85" i="1"/>
  <c r="CC85" i="1"/>
  <c r="BY85" i="1"/>
  <c r="BX85" i="1"/>
  <c r="BW85" i="1"/>
  <c r="BV85" i="1"/>
  <c r="BU85" i="1"/>
  <c r="BT85" i="1"/>
  <c r="BS85" i="1"/>
  <c r="BR85" i="1"/>
  <c r="BQ85" i="1"/>
  <c r="BP85" i="1"/>
  <c r="BO85" i="1"/>
  <c r="BM85" i="1"/>
  <c r="BL85" i="1"/>
  <c r="BI85" i="1"/>
  <c r="BH85" i="1"/>
  <c r="BG85" i="1"/>
  <c r="BE85" i="1"/>
  <c r="BD85" i="1"/>
  <c r="BC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D85" i="1"/>
  <c r="AC85" i="1"/>
  <c r="AB85" i="1"/>
  <c r="AA85" i="1"/>
  <c r="Z85" i="1"/>
  <c r="Y85" i="1"/>
  <c r="X85" i="1"/>
  <c r="W85" i="1"/>
  <c r="V85" i="1"/>
  <c r="T85" i="1"/>
  <c r="S85" i="1"/>
  <c r="R85" i="1"/>
  <c r="Q85" i="1"/>
  <c r="O85" i="1"/>
  <c r="N85" i="1"/>
  <c r="M85" i="1"/>
  <c r="L85" i="1"/>
  <c r="K85" i="1"/>
  <c r="J85" i="1"/>
  <c r="H85" i="1"/>
  <c r="D102" i="1" l="1"/>
  <c r="CE304" i="1"/>
  <c r="CE302" i="1"/>
  <c r="CE300" i="1"/>
  <c r="CE298" i="1"/>
  <c r="CE296" i="1"/>
  <c r="CE293" i="1"/>
  <c r="CE291" i="1"/>
  <c r="CE287" i="1"/>
  <c r="CE286" i="1"/>
  <c r="CE279" i="1"/>
  <c r="CE276" i="1"/>
  <c r="CE273" i="1"/>
  <c r="CE271" i="1"/>
  <c r="CE269" i="1"/>
  <c r="CE267" i="1"/>
  <c r="CE266" i="1"/>
  <c r="CE265" i="1"/>
  <c r="CE264" i="1"/>
  <c r="CE261" i="1"/>
  <c r="CE262" i="1"/>
  <c r="CE263" i="1"/>
  <c r="CE260" i="1"/>
  <c r="CE259" i="1"/>
  <c r="CE257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0" i="1"/>
  <c r="CE228" i="1"/>
  <c r="CE227" i="1"/>
  <c r="CE226" i="1"/>
  <c r="CE225" i="1"/>
  <c r="CE224" i="1"/>
  <c r="CE223" i="1"/>
  <c r="CE222" i="1"/>
  <c r="CE221" i="1"/>
  <c r="CE220" i="1"/>
  <c r="CE219" i="1"/>
  <c r="CE217" i="1"/>
  <c r="CE214" i="1"/>
  <c r="CE211" i="1"/>
  <c r="CE210" i="1"/>
  <c r="CE207" i="1"/>
  <c r="CE206" i="1"/>
  <c r="CE205" i="1"/>
  <c r="CE204" i="1"/>
  <c r="CE203" i="1"/>
  <c r="CE202" i="1"/>
  <c r="CE201" i="1"/>
  <c r="CE200" i="1"/>
  <c r="CE199" i="1"/>
  <c r="CE198" i="1"/>
  <c r="CE196" i="1"/>
  <c r="CE195" i="1"/>
  <c r="CE194" i="1"/>
  <c r="CE193" i="1"/>
  <c r="CE192" i="1"/>
  <c r="CE191" i="1"/>
  <c r="CE190" i="1"/>
  <c r="CE188" i="1"/>
  <c r="CE186" i="1"/>
  <c r="CE184" i="1"/>
  <c r="CE182" i="1"/>
  <c r="CE180" i="1"/>
  <c r="CE179" i="1"/>
  <c r="CE178" i="1"/>
  <c r="CE176" i="1"/>
  <c r="CE175" i="1"/>
  <c r="CE173" i="1"/>
  <c r="CE171" i="1"/>
  <c r="CE169" i="1"/>
  <c r="CE168" i="1"/>
  <c r="CE166" i="1"/>
  <c r="CE165" i="1"/>
  <c r="CE163" i="1"/>
  <c r="CE158" i="1"/>
  <c r="CE157" i="1"/>
  <c r="CE155" i="1"/>
  <c r="CE154" i="1"/>
  <c r="CE151" i="1"/>
  <c r="CE150" i="1"/>
  <c r="CE149" i="1"/>
  <c r="CE148" i="1"/>
  <c r="CE147" i="1"/>
  <c r="CE145" i="1"/>
  <c r="CE144" i="1"/>
  <c r="CE142" i="1"/>
  <c r="CE141" i="1"/>
  <c r="CE140" i="1"/>
  <c r="CE137" i="1"/>
  <c r="CE136" i="1"/>
  <c r="CE135" i="1"/>
  <c r="CE133" i="1"/>
  <c r="CE131" i="1"/>
  <c r="CE129" i="1"/>
  <c r="CE128" i="1"/>
  <c r="CE127" i="1"/>
  <c r="CE125" i="1"/>
  <c r="CE124" i="1"/>
  <c r="CE123" i="1"/>
  <c r="CE121" i="1"/>
  <c r="CE120" i="1"/>
  <c r="CE119" i="1"/>
  <c r="CE116" i="1"/>
  <c r="CE114" i="1"/>
  <c r="CE113" i="1"/>
  <c r="CE111" i="1"/>
  <c r="CE109" i="1"/>
  <c r="CE108" i="1"/>
  <c r="CE105" i="1"/>
  <c r="CE101" i="1"/>
  <c r="CE98" i="1"/>
  <c r="CE95" i="1"/>
  <c r="CE92" i="1"/>
  <c r="CE91" i="1"/>
  <c r="CE90" i="1"/>
  <c r="CE89" i="1"/>
  <c r="CE88" i="1"/>
  <c r="CE87" i="1"/>
  <c r="CE86" i="1"/>
  <c r="CE84" i="1"/>
  <c r="CE83" i="1"/>
  <c r="CE80" i="1"/>
  <c r="CE78" i="1"/>
  <c r="CE76" i="1"/>
  <c r="CE74" i="1"/>
  <c r="CE72" i="1"/>
  <c r="CE70" i="1"/>
  <c r="CE68" i="1"/>
  <c r="CE67" i="1"/>
  <c r="CE65" i="1"/>
  <c r="CE62" i="1"/>
  <c r="CE60" i="1"/>
  <c r="CE57" i="1"/>
  <c r="CE54" i="1"/>
  <c r="CE52" i="1"/>
  <c r="CE50" i="1"/>
  <c r="CE48" i="1"/>
  <c r="CE46" i="1"/>
  <c r="CE43" i="1"/>
  <c r="CE41" i="1"/>
  <c r="CE39" i="1"/>
  <c r="CE38" i="1"/>
  <c r="CE37" i="1"/>
  <c r="CE36" i="1"/>
  <c r="CE34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8" i="1"/>
  <c r="CE17" i="1"/>
  <c r="CE16" i="1"/>
  <c r="CE292" i="1" l="1"/>
  <c r="CE215" i="1"/>
  <c r="CE278" i="1"/>
  <c r="CE85" i="1"/>
  <c r="AY162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V73" i="1"/>
  <c r="AW73" i="1"/>
  <c r="AX73" i="1"/>
  <c r="AZ73" i="1"/>
  <c r="V69" i="1"/>
  <c r="W69" i="1"/>
  <c r="X69" i="1"/>
  <c r="Y69" i="1"/>
  <c r="Z69" i="1"/>
  <c r="AA69" i="1"/>
  <c r="AB69" i="1"/>
  <c r="AC69" i="1"/>
  <c r="AD69" i="1"/>
  <c r="V71" i="1"/>
  <c r="W71" i="1"/>
  <c r="X71" i="1"/>
  <c r="Y71" i="1"/>
  <c r="Z71" i="1"/>
  <c r="AA71" i="1"/>
  <c r="AB71" i="1"/>
  <c r="AC71" i="1"/>
  <c r="AD71" i="1"/>
  <c r="J49" i="1"/>
  <c r="K49" i="1"/>
  <c r="L49" i="1"/>
  <c r="M49" i="1"/>
  <c r="N49" i="1"/>
  <c r="O49" i="1"/>
  <c r="AY161" i="1" l="1"/>
  <c r="CE14" i="1"/>
  <c r="CJ303" i="1"/>
  <c r="CJ301" i="1"/>
  <c r="CJ299" i="1"/>
  <c r="CJ297" i="1"/>
  <c r="CJ295" i="1"/>
  <c r="CJ290" i="1"/>
  <c r="CJ275" i="1"/>
  <c r="CJ272" i="1"/>
  <c r="CJ270" i="1"/>
  <c r="CJ256" i="1"/>
  <c r="CJ231" i="1"/>
  <c r="CJ213" i="1"/>
  <c r="CJ209" i="1"/>
  <c r="CJ197" i="1"/>
  <c r="CJ189" i="1"/>
  <c r="CJ187" i="1"/>
  <c r="CJ185" i="1"/>
  <c r="CJ183" i="1"/>
  <c r="CJ181" i="1"/>
  <c r="CJ177" i="1"/>
  <c r="CJ172" i="1"/>
  <c r="CJ170" i="1"/>
  <c r="CJ167" i="1"/>
  <c r="CJ164" i="1"/>
  <c r="CJ162" i="1"/>
  <c r="CJ156" i="1"/>
  <c r="CJ153" i="1"/>
  <c r="CJ146" i="1"/>
  <c r="CJ143" i="1"/>
  <c r="CJ139" i="1"/>
  <c r="CJ134" i="1"/>
  <c r="CJ132" i="1"/>
  <c r="CJ130" i="1"/>
  <c r="CJ126" i="1"/>
  <c r="CJ122" i="1"/>
  <c r="CJ118" i="1"/>
  <c r="CJ115" i="1"/>
  <c r="CJ112" i="1"/>
  <c r="CJ110" i="1"/>
  <c r="CJ107" i="1"/>
  <c r="CJ104" i="1"/>
  <c r="CJ100" i="1"/>
  <c r="CJ97" i="1"/>
  <c r="CJ94" i="1"/>
  <c r="CJ82" i="1"/>
  <c r="CJ79" i="1"/>
  <c r="CJ77" i="1"/>
  <c r="CJ75" i="1"/>
  <c r="CJ73" i="1"/>
  <c r="CJ71" i="1"/>
  <c r="CJ69" i="1"/>
  <c r="CJ66" i="1"/>
  <c r="CJ64" i="1"/>
  <c r="CJ61" i="1"/>
  <c r="CJ59" i="1"/>
  <c r="CJ56" i="1"/>
  <c r="CJ53" i="1"/>
  <c r="CJ51" i="1"/>
  <c r="CJ49" i="1"/>
  <c r="CJ47" i="1"/>
  <c r="CJ45" i="1"/>
  <c r="CJ42" i="1"/>
  <c r="CJ40" i="1"/>
  <c r="CJ35" i="1"/>
  <c r="CJ33" i="1"/>
  <c r="CJ19" i="1"/>
  <c r="CJ15" i="1"/>
  <c r="CJ13" i="1"/>
  <c r="CN55" i="1"/>
  <c r="AY55" i="1"/>
  <c r="AU55" i="1"/>
  <c r="AT55" i="1"/>
  <c r="CJ152" i="1" l="1"/>
  <c r="CJ99" i="1"/>
  <c r="CJ55" i="1"/>
  <c r="CJ208" i="1"/>
  <c r="CJ96" i="1"/>
  <c r="CJ218" i="1"/>
  <c r="CJ44" i="1"/>
  <c r="CJ58" i="1"/>
  <c r="CJ106" i="1"/>
  <c r="CJ117" i="1"/>
  <c r="CJ161" i="1"/>
  <c r="CJ174" i="1"/>
  <c r="CJ277" i="1"/>
  <c r="CJ63" i="1"/>
  <c r="CJ93" i="1"/>
  <c r="CJ274" i="1"/>
  <c r="CJ12" i="1"/>
  <c r="CJ81" i="1"/>
  <c r="CJ138" i="1"/>
  <c r="CJ212" i="1" l="1"/>
  <c r="CJ305" i="1" s="1"/>
  <c r="AY64" i="1"/>
  <c r="CD266" i="1" l="1"/>
  <c r="CO112" i="1"/>
  <c r="CN112" i="1"/>
  <c r="CM112" i="1"/>
  <c r="CL112" i="1"/>
  <c r="CI112" i="1"/>
  <c r="CH112" i="1"/>
  <c r="CG112" i="1"/>
  <c r="CF112" i="1"/>
  <c r="CD112" i="1"/>
  <c r="CC112" i="1"/>
  <c r="BY112" i="1"/>
  <c r="BX112" i="1"/>
  <c r="BW112" i="1"/>
  <c r="BV112" i="1"/>
  <c r="BU112" i="1"/>
  <c r="BT112" i="1"/>
  <c r="BS112" i="1"/>
  <c r="BR112" i="1"/>
  <c r="BQ112" i="1"/>
  <c r="BP112" i="1"/>
  <c r="BO112" i="1"/>
  <c r="BM112" i="1"/>
  <c r="BL112" i="1"/>
  <c r="BI112" i="1"/>
  <c r="BH112" i="1"/>
  <c r="BG112" i="1"/>
  <c r="BE112" i="1"/>
  <c r="BD112" i="1"/>
  <c r="BC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D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O112" i="1"/>
  <c r="N112" i="1"/>
  <c r="M112" i="1"/>
  <c r="L112" i="1"/>
  <c r="K112" i="1"/>
  <c r="J112" i="1"/>
  <c r="H112" i="1"/>
  <c r="G112" i="1"/>
  <c r="AZ112" i="1" l="1"/>
  <c r="CK114" i="1" l="1"/>
  <c r="CB114" i="1"/>
  <c r="BN114" i="1"/>
  <c r="BK114" i="1"/>
  <c r="BF114" i="1"/>
  <c r="BB114" i="1"/>
  <c r="AE114" i="1"/>
  <c r="U114" i="1"/>
  <c r="P114" i="1"/>
  <c r="I114" i="1"/>
  <c r="CK113" i="1"/>
  <c r="CB113" i="1"/>
  <c r="BN113" i="1"/>
  <c r="BK113" i="1"/>
  <c r="BF113" i="1"/>
  <c r="BB113" i="1"/>
  <c r="AE113" i="1"/>
  <c r="U113" i="1"/>
  <c r="P113" i="1"/>
  <c r="I113" i="1"/>
  <c r="CO100" i="1"/>
  <c r="CN100" i="1"/>
  <c r="CM100" i="1"/>
  <c r="CL100" i="1"/>
  <c r="CI100" i="1"/>
  <c r="CH100" i="1"/>
  <c r="CG100" i="1"/>
  <c r="CF100" i="1"/>
  <c r="CD100" i="1"/>
  <c r="CC100" i="1"/>
  <c r="BY100" i="1"/>
  <c r="BX100" i="1"/>
  <c r="BW100" i="1"/>
  <c r="BV100" i="1"/>
  <c r="BU100" i="1"/>
  <c r="BT100" i="1"/>
  <c r="BS100" i="1"/>
  <c r="BR100" i="1"/>
  <c r="BQ100" i="1"/>
  <c r="BP100" i="1"/>
  <c r="BO100" i="1"/>
  <c r="BM100" i="1"/>
  <c r="BL100" i="1"/>
  <c r="BI100" i="1"/>
  <c r="BH100" i="1"/>
  <c r="BG100" i="1"/>
  <c r="BE100" i="1"/>
  <c r="BD100" i="1"/>
  <c r="BC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D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K101" i="1"/>
  <c r="CB101" i="1"/>
  <c r="BN101" i="1"/>
  <c r="BK101" i="1"/>
  <c r="BF101" i="1"/>
  <c r="BB101" i="1"/>
  <c r="AE101" i="1"/>
  <c r="U101" i="1"/>
  <c r="P101" i="1"/>
  <c r="I101" i="1"/>
  <c r="AT99" i="1" l="1"/>
  <c r="AU99" i="1"/>
  <c r="CN99" i="1"/>
  <c r="AY99" i="1"/>
  <c r="AZ100" i="1"/>
  <c r="BA101" i="1"/>
  <c r="CA101" i="1"/>
  <c r="BA113" i="1"/>
  <c r="CA113" i="1"/>
  <c r="BA114" i="1"/>
  <c r="F114" i="1"/>
  <c r="F101" i="1"/>
  <c r="F113" i="1"/>
  <c r="CA114" i="1"/>
  <c r="BZ101" i="1" l="1"/>
  <c r="E101" i="1"/>
  <c r="E113" i="1"/>
  <c r="E114" i="1"/>
  <c r="BZ113" i="1"/>
  <c r="BZ114" i="1"/>
  <c r="D113" i="1" l="1"/>
  <c r="D101" i="1"/>
  <c r="D114" i="1"/>
  <c r="CK286" i="1" l="1"/>
  <c r="CB286" i="1"/>
  <c r="BN286" i="1"/>
  <c r="BK286" i="1"/>
  <c r="BF286" i="1"/>
  <c r="BB286" i="1"/>
  <c r="AE286" i="1"/>
  <c r="U286" i="1"/>
  <c r="P286" i="1"/>
  <c r="I286" i="1"/>
  <c r="CK226" i="1"/>
  <c r="CB226" i="1"/>
  <c r="BN226" i="1"/>
  <c r="BK226" i="1"/>
  <c r="BF226" i="1"/>
  <c r="BB226" i="1"/>
  <c r="AE226" i="1"/>
  <c r="U226" i="1"/>
  <c r="P226" i="1"/>
  <c r="I226" i="1"/>
  <c r="BA286" i="1" l="1"/>
  <c r="CA226" i="1"/>
  <c r="F286" i="1"/>
  <c r="BA226" i="1"/>
  <c r="CA286" i="1"/>
  <c r="F226" i="1"/>
  <c r="BF291" i="1"/>
  <c r="BF100" i="1" l="1"/>
  <c r="BZ226" i="1"/>
  <c r="BZ286" i="1"/>
  <c r="E286" i="1"/>
  <c r="E226" i="1"/>
  <c r="D226" i="1" l="1"/>
  <c r="D286" i="1"/>
  <c r="CO295" i="1" l="1"/>
  <c r="CL303" i="1" l="1"/>
  <c r="CL301" i="1"/>
  <c r="CL299" i="1"/>
  <c r="CL297" i="1"/>
  <c r="CL295" i="1"/>
  <c r="CL290" i="1"/>
  <c r="CL275" i="1"/>
  <c r="CL272" i="1"/>
  <c r="CL270" i="1"/>
  <c r="CL256" i="1"/>
  <c r="CL231" i="1"/>
  <c r="CL213" i="1"/>
  <c r="CL209" i="1"/>
  <c r="CL197" i="1"/>
  <c r="CL189" i="1"/>
  <c r="CL187" i="1"/>
  <c r="CL185" i="1"/>
  <c r="CL183" i="1"/>
  <c r="CL181" i="1"/>
  <c r="CL177" i="1"/>
  <c r="CL172" i="1"/>
  <c r="CL170" i="1"/>
  <c r="CL167" i="1"/>
  <c r="CL164" i="1"/>
  <c r="CL162" i="1"/>
  <c r="CL156" i="1"/>
  <c r="CL153" i="1"/>
  <c r="CL146" i="1"/>
  <c r="CL143" i="1"/>
  <c r="CL139" i="1"/>
  <c r="CL134" i="1"/>
  <c r="CL132" i="1"/>
  <c r="CL130" i="1"/>
  <c r="CL126" i="1"/>
  <c r="CL122" i="1"/>
  <c r="CL118" i="1"/>
  <c r="CL115" i="1"/>
  <c r="CL110" i="1"/>
  <c r="CL107" i="1"/>
  <c r="CL104" i="1"/>
  <c r="CL97" i="1"/>
  <c r="CL94" i="1"/>
  <c r="CL82" i="1"/>
  <c r="CL79" i="1"/>
  <c r="CL77" i="1"/>
  <c r="CL75" i="1"/>
  <c r="CL73" i="1"/>
  <c r="CL71" i="1"/>
  <c r="CL69" i="1"/>
  <c r="CL66" i="1"/>
  <c r="CL64" i="1"/>
  <c r="CL61" i="1"/>
  <c r="CL59" i="1"/>
  <c r="CL56" i="1"/>
  <c r="CL53" i="1"/>
  <c r="CL51" i="1"/>
  <c r="CL49" i="1"/>
  <c r="CL47" i="1"/>
  <c r="CL45" i="1"/>
  <c r="CL42" i="1"/>
  <c r="CL40" i="1"/>
  <c r="CL35" i="1"/>
  <c r="CL33" i="1"/>
  <c r="CL19" i="1"/>
  <c r="CL15" i="1"/>
  <c r="CL13" i="1"/>
  <c r="CH303" i="1"/>
  <c r="CH301" i="1"/>
  <c r="CH299" i="1"/>
  <c r="CH297" i="1"/>
  <c r="CH295" i="1"/>
  <c r="CH290" i="1"/>
  <c r="CH275" i="1"/>
  <c r="CH272" i="1"/>
  <c r="CH270" i="1"/>
  <c r="CH256" i="1"/>
  <c r="CH231" i="1"/>
  <c r="CH213" i="1"/>
  <c r="CH209" i="1"/>
  <c r="CH197" i="1"/>
  <c r="CH189" i="1"/>
  <c r="CH187" i="1"/>
  <c r="CH185" i="1"/>
  <c r="CH183" i="1"/>
  <c r="CH181" i="1"/>
  <c r="CH177" i="1"/>
  <c r="CH172" i="1"/>
  <c r="CH170" i="1"/>
  <c r="CH167" i="1"/>
  <c r="CH164" i="1"/>
  <c r="CH162" i="1"/>
  <c r="CH156" i="1"/>
  <c r="CH153" i="1"/>
  <c r="CH146" i="1"/>
  <c r="CH143" i="1"/>
  <c r="CH139" i="1"/>
  <c r="CH134" i="1"/>
  <c r="CH132" i="1"/>
  <c r="CH130" i="1"/>
  <c r="CH126" i="1"/>
  <c r="CH122" i="1"/>
  <c r="CH118" i="1"/>
  <c r="CH115" i="1"/>
  <c r="CH110" i="1"/>
  <c r="CH107" i="1"/>
  <c r="CH104" i="1"/>
  <c r="CH97" i="1"/>
  <c r="CH94" i="1"/>
  <c r="CH82" i="1"/>
  <c r="CH79" i="1"/>
  <c r="CH77" i="1"/>
  <c r="CH75" i="1"/>
  <c r="CH73" i="1"/>
  <c r="CH71" i="1"/>
  <c r="CH69" i="1"/>
  <c r="CH66" i="1"/>
  <c r="CH64" i="1"/>
  <c r="CH61" i="1"/>
  <c r="CH59" i="1"/>
  <c r="CH56" i="1"/>
  <c r="CH53" i="1"/>
  <c r="CH51" i="1"/>
  <c r="CH49" i="1"/>
  <c r="CH47" i="1"/>
  <c r="CH45" i="1"/>
  <c r="CH42" i="1"/>
  <c r="CH40" i="1"/>
  <c r="CH35" i="1"/>
  <c r="CH33" i="1"/>
  <c r="CH19" i="1"/>
  <c r="CH15" i="1"/>
  <c r="CH13" i="1"/>
  <c r="CG303" i="1"/>
  <c r="CG301" i="1"/>
  <c r="CG299" i="1"/>
  <c r="CG297" i="1"/>
  <c r="CG295" i="1"/>
  <c r="CG290" i="1"/>
  <c r="CG275" i="1"/>
  <c r="CG272" i="1"/>
  <c r="CG270" i="1"/>
  <c r="CG256" i="1"/>
  <c r="CG231" i="1"/>
  <c r="CG213" i="1"/>
  <c r="CG209" i="1"/>
  <c r="CG197" i="1"/>
  <c r="CG189" i="1"/>
  <c r="CG187" i="1"/>
  <c r="CG185" i="1"/>
  <c r="CG183" i="1"/>
  <c r="CG181" i="1"/>
  <c r="CG177" i="1"/>
  <c r="CG172" i="1"/>
  <c r="CG170" i="1"/>
  <c r="CG167" i="1"/>
  <c r="CG164" i="1"/>
  <c r="CG162" i="1"/>
  <c r="CG156" i="1"/>
  <c r="CG153" i="1"/>
  <c r="CG146" i="1"/>
  <c r="CG143" i="1"/>
  <c r="CG139" i="1"/>
  <c r="CG134" i="1"/>
  <c r="CG132" i="1"/>
  <c r="CG130" i="1"/>
  <c r="CG126" i="1"/>
  <c r="CG122" i="1"/>
  <c r="CG118" i="1"/>
  <c r="CG115" i="1"/>
  <c r="CG110" i="1"/>
  <c r="CG107" i="1"/>
  <c r="CG104" i="1"/>
  <c r="CG97" i="1"/>
  <c r="CG94" i="1"/>
  <c r="CG82" i="1"/>
  <c r="CG79" i="1"/>
  <c r="CG77" i="1"/>
  <c r="CG75" i="1"/>
  <c r="CG73" i="1"/>
  <c r="CG71" i="1"/>
  <c r="CG69" i="1"/>
  <c r="CG66" i="1"/>
  <c r="CG64" i="1"/>
  <c r="CG61" i="1"/>
  <c r="CG59" i="1"/>
  <c r="CG56" i="1"/>
  <c r="CG53" i="1"/>
  <c r="CG51" i="1"/>
  <c r="CG49" i="1"/>
  <c r="CG47" i="1"/>
  <c r="CG45" i="1"/>
  <c r="CG42" i="1"/>
  <c r="CG40" i="1"/>
  <c r="CG35" i="1"/>
  <c r="CG33" i="1"/>
  <c r="CG19" i="1"/>
  <c r="CG15" i="1"/>
  <c r="CG13" i="1"/>
  <c r="CK257" i="1"/>
  <c r="CB257" i="1"/>
  <c r="BN257" i="1"/>
  <c r="BK257" i="1"/>
  <c r="BF257" i="1"/>
  <c r="BB257" i="1"/>
  <c r="AE257" i="1"/>
  <c r="U257" i="1"/>
  <c r="P257" i="1"/>
  <c r="I257" i="1"/>
  <c r="CK220" i="1"/>
  <c r="CB220" i="1"/>
  <c r="BN220" i="1"/>
  <c r="BK220" i="1"/>
  <c r="BF220" i="1"/>
  <c r="BB220" i="1"/>
  <c r="AE220" i="1"/>
  <c r="U220" i="1"/>
  <c r="P220" i="1"/>
  <c r="O220" i="1"/>
  <c r="CK223" i="1"/>
  <c r="CB223" i="1"/>
  <c r="BN223" i="1"/>
  <c r="BK223" i="1"/>
  <c r="BF223" i="1"/>
  <c r="BB223" i="1"/>
  <c r="AE223" i="1"/>
  <c r="P223" i="1"/>
  <c r="I223" i="1"/>
  <c r="AE196" i="1"/>
  <c r="AE195" i="1"/>
  <c r="AE194" i="1"/>
  <c r="AE193" i="1"/>
  <c r="AE192" i="1"/>
  <c r="AE191" i="1"/>
  <c r="AE190" i="1"/>
  <c r="AE188" i="1"/>
  <c r="BN50" i="1"/>
  <c r="CG99" i="1" l="1"/>
  <c r="CL99" i="1"/>
  <c r="CH99" i="1"/>
  <c r="CL152" i="1"/>
  <c r="CG152" i="1"/>
  <c r="CH152" i="1"/>
  <c r="CG55" i="1"/>
  <c r="CL55" i="1"/>
  <c r="CH55" i="1"/>
  <c r="CG93" i="1"/>
  <c r="CH93" i="1"/>
  <c r="BN49" i="1"/>
  <c r="CG96" i="1"/>
  <c r="CG218" i="1"/>
  <c r="CG274" i="1"/>
  <c r="CH96" i="1"/>
  <c r="CH218" i="1"/>
  <c r="CH274" i="1"/>
  <c r="CL96" i="1"/>
  <c r="CL218" i="1"/>
  <c r="CL274" i="1"/>
  <c r="I220" i="1"/>
  <c r="CG208" i="1"/>
  <c r="CH208" i="1"/>
  <c r="CL93" i="1"/>
  <c r="CL208" i="1"/>
  <c r="CL161" i="1"/>
  <c r="BA257" i="1"/>
  <c r="CH117" i="1"/>
  <c r="CH174" i="1"/>
  <c r="BA223" i="1"/>
  <c r="CG117" i="1"/>
  <c r="CG174" i="1"/>
  <c r="CH161" i="1"/>
  <c r="CH277" i="1"/>
  <c r="CL12" i="1"/>
  <c r="CL58" i="1"/>
  <c r="CL63" i="1"/>
  <c r="CL117" i="1"/>
  <c r="CL138" i="1"/>
  <c r="CL174" i="1"/>
  <c r="CL277" i="1"/>
  <c r="CG44" i="1"/>
  <c r="CG161" i="1"/>
  <c r="CG277" i="1"/>
  <c r="CH12" i="1"/>
  <c r="CH58" i="1"/>
  <c r="CH63" i="1"/>
  <c r="CH81" i="1"/>
  <c r="CH106" i="1"/>
  <c r="CL44" i="1"/>
  <c r="CL106" i="1"/>
  <c r="CG63" i="1"/>
  <c r="CG106" i="1"/>
  <c r="CH44" i="1"/>
  <c r="CL81" i="1"/>
  <c r="CG12" i="1"/>
  <c r="CG58" i="1"/>
  <c r="CG138" i="1"/>
  <c r="CH138" i="1"/>
  <c r="CA257" i="1"/>
  <c r="CG81" i="1"/>
  <c r="CA220" i="1"/>
  <c r="F257" i="1"/>
  <c r="CA223" i="1"/>
  <c r="F223" i="1"/>
  <c r="AY77" i="1"/>
  <c r="AY231" i="1"/>
  <c r="AX42" i="1"/>
  <c r="AY42" i="1"/>
  <c r="AZ42" i="1"/>
  <c r="AY19" i="1"/>
  <c r="AE171" i="1"/>
  <c r="CL212" i="1" l="1"/>
  <c r="CH212" i="1"/>
  <c r="F220" i="1"/>
  <c r="CG212" i="1"/>
  <c r="AY218" i="1"/>
  <c r="E223" i="1"/>
  <c r="BZ223" i="1"/>
  <c r="BZ220" i="1"/>
  <c r="BZ257" i="1"/>
  <c r="AY63" i="1"/>
  <c r="E257" i="1"/>
  <c r="AY12" i="1"/>
  <c r="CG305" i="1" l="1"/>
  <c r="CH305" i="1"/>
  <c r="CL305" i="1"/>
  <c r="E220" i="1"/>
  <c r="AY212" i="1"/>
  <c r="D223" i="1"/>
  <c r="D257" i="1"/>
  <c r="CK267" i="1"/>
  <c r="CB267" i="1"/>
  <c r="BN267" i="1"/>
  <c r="BK267" i="1"/>
  <c r="BF267" i="1"/>
  <c r="BB267" i="1"/>
  <c r="AE267" i="1"/>
  <c r="U267" i="1"/>
  <c r="P267" i="1"/>
  <c r="I267" i="1"/>
  <c r="CK266" i="1"/>
  <c r="CB266" i="1"/>
  <c r="BN266" i="1"/>
  <c r="BK266" i="1"/>
  <c r="BF266" i="1"/>
  <c r="BB266" i="1"/>
  <c r="AE266" i="1"/>
  <c r="U266" i="1"/>
  <c r="P266" i="1"/>
  <c r="I266" i="1"/>
  <c r="CK261" i="1"/>
  <c r="CB261" i="1"/>
  <c r="BN261" i="1"/>
  <c r="BK261" i="1"/>
  <c r="BF261" i="1"/>
  <c r="BB261" i="1"/>
  <c r="AE261" i="1"/>
  <c r="U261" i="1"/>
  <c r="P261" i="1"/>
  <c r="I261" i="1"/>
  <c r="CK230" i="1"/>
  <c r="CB230" i="1"/>
  <c r="BN230" i="1"/>
  <c r="BK230" i="1"/>
  <c r="BF230" i="1"/>
  <c r="BB230" i="1"/>
  <c r="AE230" i="1"/>
  <c r="U230" i="1"/>
  <c r="P230" i="1"/>
  <c r="I230" i="1"/>
  <c r="CK224" i="1"/>
  <c r="CB224" i="1"/>
  <c r="BN224" i="1"/>
  <c r="BK224" i="1"/>
  <c r="BF224" i="1"/>
  <c r="BB224" i="1"/>
  <c r="AE224" i="1"/>
  <c r="U224" i="1"/>
  <c r="P224" i="1"/>
  <c r="I224" i="1"/>
  <c r="CK222" i="1"/>
  <c r="CB222" i="1"/>
  <c r="BN222" i="1"/>
  <c r="BK222" i="1"/>
  <c r="BF222" i="1"/>
  <c r="BB222" i="1"/>
  <c r="AE222" i="1"/>
  <c r="U222" i="1"/>
  <c r="P222" i="1"/>
  <c r="I222" i="1"/>
  <c r="CK92" i="1"/>
  <c r="CB92" i="1"/>
  <c r="BN92" i="1"/>
  <c r="BK92" i="1"/>
  <c r="BF92" i="1"/>
  <c r="BB92" i="1"/>
  <c r="AE92" i="1"/>
  <c r="U92" i="1"/>
  <c r="P92" i="1"/>
  <c r="I92" i="1"/>
  <c r="CK89" i="1"/>
  <c r="CB89" i="1"/>
  <c r="BN89" i="1"/>
  <c r="BK89" i="1"/>
  <c r="BF89" i="1"/>
  <c r="BB89" i="1"/>
  <c r="AE89" i="1"/>
  <c r="U89" i="1"/>
  <c r="P89" i="1"/>
  <c r="I89" i="1"/>
  <c r="AY305" i="1" l="1"/>
  <c r="D220" i="1"/>
  <c r="BA230" i="1"/>
  <c r="CA92" i="1"/>
  <c r="BA89" i="1"/>
  <c r="CA261" i="1"/>
  <c r="BA267" i="1"/>
  <c r="BA222" i="1"/>
  <c r="CA222" i="1"/>
  <c r="BA224" i="1"/>
  <c r="CA224" i="1"/>
  <c r="F230" i="1"/>
  <c r="BA266" i="1"/>
  <c r="CA266" i="1"/>
  <c r="F267" i="1"/>
  <c r="F89" i="1"/>
  <c r="CA89" i="1"/>
  <c r="F92" i="1"/>
  <c r="BA92" i="1"/>
  <c r="F222" i="1"/>
  <c r="F224" i="1"/>
  <c r="CA230" i="1"/>
  <c r="F261" i="1"/>
  <c r="BA261" i="1"/>
  <c r="F266" i="1"/>
  <c r="CA267" i="1"/>
  <c r="BZ261" i="1" l="1"/>
  <c r="BZ92" i="1"/>
  <c r="E224" i="1"/>
  <c r="E261" i="1"/>
  <c r="E222" i="1"/>
  <c r="BZ267" i="1"/>
  <c r="E92" i="1"/>
  <c r="BZ89" i="1"/>
  <c r="E89" i="1"/>
  <c r="E267" i="1"/>
  <c r="BZ266" i="1"/>
  <c r="E230" i="1"/>
  <c r="BZ224" i="1"/>
  <c r="BZ222" i="1"/>
  <c r="E266" i="1"/>
  <c r="BZ230" i="1"/>
  <c r="D266" i="1" l="1"/>
  <c r="D230" i="1"/>
  <c r="D267" i="1"/>
  <c r="D89" i="1"/>
  <c r="D92" i="1"/>
  <c r="D222" i="1"/>
  <c r="D261" i="1"/>
  <c r="D224" i="1"/>
  <c r="CB41" i="1" l="1"/>
  <c r="AZ40" i="1"/>
  <c r="AM40" i="1"/>
  <c r="AK40" i="1"/>
  <c r="AI40" i="1"/>
  <c r="AH40" i="1"/>
  <c r="AA40" i="1"/>
  <c r="Z40" i="1"/>
  <c r="Y40" i="1"/>
  <c r="X40" i="1"/>
  <c r="W40" i="1"/>
  <c r="V40" i="1"/>
  <c r="T40" i="1"/>
  <c r="O40" i="1"/>
  <c r="H40" i="1"/>
  <c r="G40" i="1"/>
  <c r="CO40" i="1"/>
  <c r="CN40" i="1"/>
  <c r="CM40" i="1"/>
  <c r="CI40" i="1"/>
  <c r="CF40" i="1"/>
  <c r="CC40" i="1"/>
  <c r="BY40" i="1"/>
  <c r="BX40" i="1"/>
  <c r="BW40" i="1"/>
  <c r="BV40" i="1"/>
  <c r="BU40" i="1"/>
  <c r="BT40" i="1"/>
  <c r="BS40" i="1"/>
  <c r="BR40" i="1"/>
  <c r="BQ40" i="1"/>
  <c r="BP40" i="1"/>
  <c r="BO40" i="1"/>
  <c r="BM40" i="1"/>
  <c r="BL40" i="1"/>
  <c r="BI40" i="1"/>
  <c r="BH40" i="1"/>
  <c r="BG40" i="1"/>
  <c r="BE40" i="1"/>
  <c r="BD40" i="1"/>
  <c r="BC40" i="1"/>
  <c r="AX40" i="1"/>
  <c r="AW40" i="1"/>
  <c r="AV40" i="1"/>
  <c r="AU40" i="1"/>
  <c r="AT40" i="1"/>
  <c r="AS40" i="1"/>
  <c r="AR40" i="1"/>
  <c r="AQ40" i="1"/>
  <c r="AP40" i="1"/>
  <c r="AO40" i="1"/>
  <c r="AN40" i="1"/>
  <c r="AL40" i="1"/>
  <c r="AJ40" i="1"/>
  <c r="AG40" i="1"/>
  <c r="AF40" i="1"/>
  <c r="AD40" i="1"/>
  <c r="AC40" i="1"/>
  <c r="AB40" i="1"/>
  <c r="S40" i="1"/>
  <c r="R40" i="1"/>
  <c r="Q40" i="1"/>
  <c r="N40" i="1"/>
  <c r="M40" i="1"/>
  <c r="L40" i="1"/>
  <c r="K40" i="1"/>
  <c r="J40" i="1"/>
  <c r="CK41" i="1"/>
  <c r="BN41" i="1"/>
  <c r="BK41" i="1"/>
  <c r="BF41" i="1"/>
  <c r="BB41" i="1"/>
  <c r="P41" i="1"/>
  <c r="BA41" i="1" l="1"/>
  <c r="AU12" i="1"/>
  <c r="AT12" i="1"/>
  <c r="BN60" i="1"/>
  <c r="CD40" i="1"/>
  <c r="I41" i="1"/>
  <c r="U41" i="1"/>
  <c r="AE41" i="1"/>
  <c r="CA41" i="1"/>
  <c r="F41" i="1" l="1"/>
  <c r="BZ41" i="1"/>
  <c r="E41" i="1" l="1"/>
  <c r="D41" i="1" l="1"/>
  <c r="CN277" i="1" l="1"/>
  <c r="CK279" i="1"/>
  <c r="CB279" i="1"/>
  <c r="BN279" i="1"/>
  <c r="BK279" i="1"/>
  <c r="BF279" i="1"/>
  <c r="BB279" i="1"/>
  <c r="AE279" i="1"/>
  <c r="U279" i="1"/>
  <c r="P279" i="1"/>
  <c r="I279" i="1"/>
  <c r="F279" i="1" l="1"/>
  <c r="CA279" i="1"/>
  <c r="BA279" i="1"/>
  <c r="BZ279" i="1" l="1"/>
  <c r="E279" i="1"/>
  <c r="D279" i="1" l="1"/>
  <c r="BK109" i="1"/>
  <c r="BM303" i="1" l="1"/>
  <c r="BM301" i="1"/>
  <c r="BM299" i="1"/>
  <c r="BM297" i="1"/>
  <c r="BM295" i="1"/>
  <c r="BM290" i="1"/>
  <c r="BM275" i="1"/>
  <c r="BM272" i="1"/>
  <c r="BM270" i="1"/>
  <c r="BM256" i="1"/>
  <c r="BM231" i="1"/>
  <c r="BM213" i="1"/>
  <c r="BM209" i="1"/>
  <c r="BM197" i="1"/>
  <c r="BM189" i="1"/>
  <c r="BM187" i="1"/>
  <c r="BM185" i="1"/>
  <c r="BM183" i="1"/>
  <c r="BM181" i="1"/>
  <c r="BM177" i="1"/>
  <c r="BM172" i="1"/>
  <c r="BM170" i="1"/>
  <c r="BM167" i="1"/>
  <c r="BM164" i="1"/>
  <c r="BM162" i="1"/>
  <c r="BM156" i="1"/>
  <c r="BM153" i="1"/>
  <c r="BM146" i="1"/>
  <c r="BM143" i="1"/>
  <c r="BM139" i="1"/>
  <c r="BM134" i="1"/>
  <c r="BM132" i="1"/>
  <c r="BM130" i="1"/>
  <c r="BM126" i="1"/>
  <c r="BM122" i="1"/>
  <c r="BM118" i="1"/>
  <c r="BM115" i="1"/>
  <c r="BM110" i="1"/>
  <c r="BM107" i="1"/>
  <c r="BM104" i="1"/>
  <c r="BM97" i="1"/>
  <c r="BM94" i="1"/>
  <c r="BM82" i="1"/>
  <c r="BM79" i="1"/>
  <c r="BM77" i="1"/>
  <c r="BM75" i="1"/>
  <c r="BM73" i="1"/>
  <c r="BM71" i="1"/>
  <c r="BM69" i="1"/>
  <c r="BM66" i="1"/>
  <c r="BM64" i="1"/>
  <c r="BM61" i="1"/>
  <c r="BM59" i="1"/>
  <c r="BM56" i="1"/>
  <c r="BM53" i="1"/>
  <c r="BM51" i="1"/>
  <c r="BM49" i="1"/>
  <c r="BM47" i="1"/>
  <c r="BM45" i="1"/>
  <c r="BM42" i="1"/>
  <c r="BM35" i="1"/>
  <c r="BM33" i="1"/>
  <c r="BM19" i="1"/>
  <c r="BM15" i="1"/>
  <c r="BM13" i="1"/>
  <c r="CO107" i="1"/>
  <c r="CN107" i="1"/>
  <c r="CM107" i="1"/>
  <c r="CI107" i="1"/>
  <c r="CF107" i="1"/>
  <c r="CD107" i="1"/>
  <c r="CC107" i="1"/>
  <c r="BY107" i="1"/>
  <c r="BX107" i="1"/>
  <c r="BW107" i="1"/>
  <c r="BV107" i="1"/>
  <c r="BU107" i="1"/>
  <c r="BT107" i="1"/>
  <c r="BS107" i="1"/>
  <c r="BR107" i="1"/>
  <c r="BQ107" i="1"/>
  <c r="BP107" i="1"/>
  <c r="BO107" i="1"/>
  <c r="BL107" i="1"/>
  <c r="BI107" i="1"/>
  <c r="BH107" i="1"/>
  <c r="BG107" i="1"/>
  <c r="BE107" i="1"/>
  <c r="BC107" i="1"/>
  <c r="AZ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D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K107" i="1"/>
  <c r="J107" i="1"/>
  <c r="H107" i="1"/>
  <c r="G107" i="1"/>
  <c r="CK109" i="1"/>
  <c r="CB109" i="1"/>
  <c r="BN109" i="1"/>
  <c r="BF109" i="1"/>
  <c r="BB109" i="1"/>
  <c r="AE109" i="1"/>
  <c r="U109" i="1"/>
  <c r="P109" i="1"/>
  <c r="I109" i="1"/>
  <c r="BM99" i="1" l="1"/>
  <c r="BM152" i="1"/>
  <c r="BM55" i="1"/>
  <c r="BM274" i="1"/>
  <c r="BM117" i="1"/>
  <c r="BM161" i="1"/>
  <c r="BM208" i="1"/>
  <c r="BA109" i="1"/>
  <c r="CA109" i="1"/>
  <c r="BM174" i="1"/>
  <c r="BM277" i="1"/>
  <c r="BM93" i="1"/>
  <c r="BM106" i="1"/>
  <c r="BM218" i="1"/>
  <c r="BD107" i="1"/>
  <c r="BM96" i="1"/>
  <c r="F109" i="1"/>
  <c r="BM44" i="1"/>
  <c r="BM12" i="1"/>
  <c r="BM58" i="1"/>
  <c r="BM81" i="1"/>
  <c r="BM138" i="1"/>
  <c r="BM63" i="1"/>
  <c r="BZ109" i="1" l="1"/>
  <c r="E109" i="1"/>
  <c r="BM212" i="1"/>
  <c r="BM305" i="1" l="1"/>
  <c r="D109" i="1"/>
  <c r="BN32" i="1" l="1"/>
  <c r="G51" i="1"/>
  <c r="G42" i="1"/>
  <c r="U32" i="1"/>
  <c r="H15" i="1"/>
  <c r="CK254" i="1"/>
  <c r="BN254" i="1"/>
  <c r="BK254" i="1"/>
  <c r="BF254" i="1"/>
  <c r="BB254" i="1"/>
  <c r="CK206" i="1"/>
  <c r="CB206" i="1"/>
  <c r="BN206" i="1"/>
  <c r="BK206" i="1"/>
  <c r="BF206" i="1"/>
  <c r="BB206" i="1"/>
  <c r="AE206" i="1"/>
  <c r="U206" i="1"/>
  <c r="P206" i="1"/>
  <c r="I206" i="1"/>
  <c r="CK154" i="1"/>
  <c r="BN154" i="1"/>
  <c r="BK154" i="1"/>
  <c r="BF154" i="1"/>
  <c r="BB154" i="1"/>
  <c r="CO115" i="1"/>
  <c r="CN115" i="1"/>
  <c r="CM115" i="1"/>
  <c r="CI115" i="1"/>
  <c r="CF115" i="1"/>
  <c r="CD115" i="1"/>
  <c r="CC115" i="1"/>
  <c r="BY115" i="1"/>
  <c r="BX115" i="1"/>
  <c r="BW115" i="1"/>
  <c r="BV115" i="1"/>
  <c r="BU115" i="1"/>
  <c r="BT115" i="1"/>
  <c r="BS115" i="1"/>
  <c r="BR115" i="1"/>
  <c r="BQ115" i="1"/>
  <c r="BP115" i="1"/>
  <c r="BO115" i="1"/>
  <c r="BL115" i="1"/>
  <c r="BI115" i="1"/>
  <c r="BH115" i="1"/>
  <c r="BG115" i="1"/>
  <c r="BE115" i="1"/>
  <c r="BD115" i="1"/>
  <c r="BC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D115" i="1"/>
  <c r="AC115" i="1"/>
  <c r="AB115" i="1"/>
  <c r="AA115" i="1"/>
  <c r="Z115" i="1"/>
  <c r="Y115" i="1"/>
  <c r="X115" i="1"/>
  <c r="W115" i="1"/>
  <c r="V115" i="1"/>
  <c r="T115" i="1"/>
  <c r="S115" i="1"/>
  <c r="R115" i="1"/>
  <c r="Q115" i="1"/>
  <c r="O115" i="1"/>
  <c r="N115" i="1"/>
  <c r="M115" i="1"/>
  <c r="L115" i="1"/>
  <c r="K115" i="1"/>
  <c r="J115" i="1"/>
  <c r="H115" i="1"/>
  <c r="G115" i="1"/>
  <c r="CO110" i="1"/>
  <c r="CN110" i="1"/>
  <c r="CM110" i="1"/>
  <c r="CI110" i="1"/>
  <c r="CF110" i="1"/>
  <c r="CD110" i="1"/>
  <c r="CC110" i="1"/>
  <c r="BY110" i="1"/>
  <c r="BX110" i="1"/>
  <c r="BW110" i="1"/>
  <c r="BV110" i="1"/>
  <c r="BU110" i="1"/>
  <c r="BT110" i="1"/>
  <c r="BS110" i="1"/>
  <c r="BR110" i="1"/>
  <c r="BQ110" i="1"/>
  <c r="BP110" i="1"/>
  <c r="BO110" i="1"/>
  <c r="BL110" i="1"/>
  <c r="BI110" i="1"/>
  <c r="BH110" i="1"/>
  <c r="BG110" i="1"/>
  <c r="BD110" i="1"/>
  <c r="BC110" i="1"/>
  <c r="AZ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H110" i="1"/>
  <c r="G110" i="1"/>
  <c r="CK111" i="1"/>
  <c r="CB111" i="1"/>
  <c r="BN111" i="1"/>
  <c r="BK111" i="1"/>
  <c r="BF111" i="1"/>
  <c r="AE111" i="1"/>
  <c r="U111" i="1"/>
  <c r="P111" i="1"/>
  <c r="I111" i="1"/>
  <c r="CK304" i="1"/>
  <c r="CB304" i="1"/>
  <c r="BN304" i="1"/>
  <c r="BK304" i="1"/>
  <c r="BB304" i="1"/>
  <c r="U304" i="1"/>
  <c r="P304" i="1"/>
  <c r="I304" i="1"/>
  <c r="CO303" i="1"/>
  <c r="CM303" i="1"/>
  <c r="CI303" i="1"/>
  <c r="CF303" i="1"/>
  <c r="CD303" i="1"/>
  <c r="CC303" i="1"/>
  <c r="BY303" i="1"/>
  <c r="BX303" i="1"/>
  <c r="BW303" i="1"/>
  <c r="BV303" i="1"/>
  <c r="BU303" i="1"/>
  <c r="BT303" i="1"/>
  <c r="BS303" i="1"/>
  <c r="BR303" i="1"/>
  <c r="BQ303" i="1"/>
  <c r="BP303" i="1"/>
  <c r="BO303" i="1"/>
  <c r="BL303" i="1"/>
  <c r="BI303" i="1"/>
  <c r="BH303" i="1"/>
  <c r="BG303" i="1"/>
  <c r="BE303" i="1"/>
  <c r="BD303" i="1"/>
  <c r="BC303" i="1"/>
  <c r="AZ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O303" i="1"/>
  <c r="N303" i="1"/>
  <c r="M303" i="1"/>
  <c r="L303" i="1"/>
  <c r="K303" i="1"/>
  <c r="J303" i="1"/>
  <c r="H303" i="1"/>
  <c r="G303" i="1"/>
  <c r="CK302" i="1"/>
  <c r="CB302" i="1"/>
  <c r="BN302" i="1"/>
  <c r="BK302" i="1"/>
  <c r="BF302" i="1"/>
  <c r="BB302" i="1"/>
  <c r="AE302" i="1"/>
  <c r="U302" i="1"/>
  <c r="P302" i="1"/>
  <c r="I302" i="1"/>
  <c r="CO301" i="1"/>
  <c r="CM301" i="1"/>
  <c r="CI301" i="1"/>
  <c r="CF301" i="1"/>
  <c r="CD301" i="1"/>
  <c r="CC301" i="1"/>
  <c r="BY301" i="1"/>
  <c r="BX301" i="1"/>
  <c r="BW301" i="1"/>
  <c r="BV301" i="1"/>
  <c r="BU301" i="1"/>
  <c r="BT301" i="1"/>
  <c r="BS301" i="1"/>
  <c r="BR301" i="1"/>
  <c r="BQ301" i="1"/>
  <c r="BP301" i="1"/>
  <c r="BO301" i="1"/>
  <c r="BL301" i="1"/>
  <c r="BI301" i="1"/>
  <c r="BH301" i="1"/>
  <c r="BG301" i="1"/>
  <c r="BE301" i="1"/>
  <c r="BD301" i="1"/>
  <c r="BC301" i="1"/>
  <c r="AZ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O301" i="1"/>
  <c r="N301" i="1"/>
  <c r="M301" i="1"/>
  <c r="L301" i="1"/>
  <c r="K301" i="1"/>
  <c r="J301" i="1"/>
  <c r="H301" i="1"/>
  <c r="G301" i="1"/>
  <c r="CK300" i="1"/>
  <c r="CB300" i="1"/>
  <c r="BN300" i="1"/>
  <c r="BK300" i="1"/>
  <c r="BF300" i="1"/>
  <c r="BB300" i="1"/>
  <c r="AE300" i="1"/>
  <c r="U300" i="1"/>
  <c r="P300" i="1"/>
  <c r="I300" i="1"/>
  <c r="CO299" i="1"/>
  <c r="CM299" i="1"/>
  <c r="CI299" i="1"/>
  <c r="CF299" i="1"/>
  <c r="CD299" i="1"/>
  <c r="CC299" i="1"/>
  <c r="BY299" i="1"/>
  <c r="BX299" i="1"/>
  <c r="BW299" i="1"/>
  <c r="BV299" i="1"/>
  <c r="BU299" i="1"/>
  <c r="BT299" i="1"/>
  <c r="BS299" i="1"/>
  <c r="BR299" i="1"/>
  <c r="BQ299" i="1"/>
  <c r="BP299" i="1"/>
  <c r="BO299" i="1"/>
  <c r="BL299" i="1"/>
  <c r="BI299" i="1"/>
  <c r="BH299" i="1"/>
  <c r="BG299" i="1"/>
  <c r="BE299" i="1"/>
  <c r="BD299" i="1"/>
  <c r="BC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O299" i="1"/>
  <c r="N299" i="1"/>
  <c r="M299" i="1"/>
  <c r="L299" i="1"/>
  <c r="K299" i="1"/>
  <c r="J299" i="1"/>
  <c r="H299" i="1"/>
  <c r="G299" i="1"/>
  <c r="CK298" i="1"/>
  <c r="CB298" i="1"/>
  <c r="BN298" i="1"/>
  <c r="BK298" i="1"/>
  <c r="BF298" i="1"/>
  <c r="BB298" i="1"/>
  <c r="AE298" i="1"/>
  <c r="U298" i="1"/>
  <c r="P298" i="1"/>
  <c r="I298" i="1"/>
  <c r="CO297" i="1"/>
  <c r="CM297" i="1"/>
  <c r="CI297" i="1"/>
  <c r="CF297" i="1"/>
  <c r="CD297" i="1"/>
  <c r="CC297" i="1"/>
  <c r="BY297" i="1"/>
  <c r="BX297" i="1"/>
  <c r="BW297" i="1"/>
  <c r="BV297" i="1"/>
  <c r="BU297" i="1"/>
  <c r="BT297" i="1"/>
  <c r="BS297" i="1"/>
  <c r="BR297" i="1"/>
  <c r="BQ297" i="1"/>
  <c r="BP297" i="1"/>
  <c r="BO297" i="1"/>
  <c r="BL297" i="1"/>
  <c r="BI297" i="1"/>
  <c r="BH297" i="1"/>
  <c r="BG297" i="1"/>
  <c r="BE297" i="1"/>
  <c r="BD297" i="1"/>
  <c r="BC297" i="1"/>
  <c r="AZ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O297" i="1"/>
  <c r="N297" i="1"/>
  <c r="M297" i="1"/>
  <c r="L297" i="1"/>
  <c r="K297" i="1"/>
  <c r="J297" i="1"/>
  <c r="H297" i="1"/>
  <c r="G297" i="1"/>
  <c r="CK296" i="1"/>
  <c r="BN296" i="1"/>
  <c r="BK296" i="1"/>
  <c r="BF296" i="1"/>
  <c r="BB296" i="1"/>
  <c r="AZ295" i="1"/>
  <c r="U296" i="1"/>
  <c r="P296" i="1"/>
  <c r="O295" i="1"/>
  <c r="N295" i="1"/>
  <c r="J296" i="1"/>
  <c r="CM295" i="1"/>
  <c r="CF295" i="1"/>
  <c r="CC295" i="1"/>
  <c r="BY295" i="1"/>
  <c r="BX295" i="1"/>
  <c r="BW295" i="1"/>
  <c r="BV295" i="1"/>
  <c r="BU295" i="1"/>
  <c r="BT295" i="1"/>
  <c r="BS295" i="1"/>
  <c r="BR295" i="1"/>
  <c r="BQ295" i="1"/>
  <c r="BP295" i="1"/>
  <c r="BO295" i="1"/>
  <c r="BL295" i="1"/>
  <c r="BI295" i="1"/>
  <c r="BH295" i="1"/>
  <c r="BG295" i="1"/>
  <c r="BE295" i="1"/>
  <c r="BD295" i="1"/>
  <c r="BC295" i="1"/>
  <c r="AX295" i="1"/>
  <c r="AW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M295" i="1"/>
  <c r="L295" i="1"/>
  <c r="K295" i="1"/>
  <c r="H295" i="1"/>
  <c r="G295" i="1"/>
  <c r="CK293" i="1"/>
  <c r="CB293" i="1"/>
  <c r="BN293" i="1"/>
  <c r="BK293" i="1"/>
  <c r="BF293" i="1"/>
  <c r="BB293" i="1"/>
  <c r="AE293" i="1"/>
  <c r="U293" i="1"/>
  <c r="P293" i="1"/>
  <c r="I293" i="1"/>
  <c r="CK291" i="1"/>
  <c r="CB291" i="1"/>
  <c r="BN291" i="1"/>
  <c r="BK291" i="1"/>
  <c r="BB291" i="1"/>
  <c r="AE291" i="1"/>
  <c r="U291" i="1"/>
  <c r="P291" i="1"/>
  <c r="I291" i="1"/>
  <c r="CO290" i="1"/>
  <c r="CM290" i="1"/>
  <c r="CI290" i="1"/>
  <c r="CF290" i="1"/>
  <c r="CD290" i="1"/>
  <c r="CC290" i="1"/>
  <c r="BY290" i="1"/>
  <c r="BX290" i="1"/>
  <c r="BW290" i="1"/>
  <c r="BV290" i="1"/>
  <c r="BU290" i="1"/>
  <c r="BT290" i="1"/>
  <c r="BS290" i="1"/>
  <c r="BR290" i="1"/>
  <c r="BQ290" i="1"/>
  <c r="BP290" i="1"/>
  <c r="BO290" i="1"/>
  <c r="BL290" i="1"/>
  <c r="BI290" i="1"/>
  <c r="BG290" i="1"/>
  <c r="BE290" i="1"/>
  <c r="BD290" i="1"/>
  <c r="BC290" i="1"/>
  <c r="AZ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O290" i="1"/>
  <c r="N290" i="1"/>
  <c r="M290" i="1"/>
  <c r="L290" i="1"/>
  <c r="K290" i="1"/>
  <c r="J290" i="1"/>
  <c r="H290" i="1"/>
  <c r="G290" i="1"/>
  <c r="CK287" i="1"/>
  <c r="CB287" i="1"/>
  <c r="BN287" i="1"/>
  <c r="BK287" i="1"/>
  <c r="BF287" i="1"/>
  <c r="BB287" i="1"/>
  <c r="U287" i="1"/>
  <c r="P287" i="1"/>
  <c r="I287" i="1"/>
  <c r="CK276" i="1"/>
  <c r="CB276" i="1"/>
  <c r="BN276" i="1"/>
  <c r="BK276" i="1"/>
  <c r="BF276" i="1"/>
  <c r="BB276" i="1"/>
  <c r="AE276" i="1"/>
  <c r="U276" i="1"/>
  <c r="P276" i="1"/>
  <c r="I276" i="1"/>
  <c r="CO275" i="1"/>
  <c r="CM275" i="1"/>
  <c r="CI275" i="1"/>
  <c r="CF275" i="1"/>
  <c r="CD275" i="1"/>
  <c r="CC275" i="1"/>
  <c r="BY275" i="1"/>
  <c r="BX275" i="1"/>
  <c r="BW275" i="1"/>
  <c r="BV275" i="1"/>
  <c r="BU275" i="1"/>
  <c r="BT275" i="1"/>
  <c r="BS275" i="1"/>
  <c r="BR275" i="1"/>
  <c r="BQ275" i="1"/>
  <c r="BP275" i="1"/>
  <c r="BO275" i="1"/>
  <c r="BL275" i="1"/>
  <c r="BI275" i="1"/>
  <c r="BH275" i="1"/>
  <c r="BG275" i="1"/>
  <c r="BE275" i="1"/>
  <c r="BD275" i="1"/>
  <c r="BC275" i="1"/>
  <c r="AZ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O275" i="1"/>
  <c r="N275" i="1"/>
  <c r="M275" i="1"/>
  <c r="L275" i="1"/>
  <c r="K275" i="1"/>
  <c r="J275" i="1"/>
  <c r="H275" i="1"/>
  <c r="G275" i="1"/>
  <c r="CK273" i="1"/>
  <c r="CB273" i="1"/>
  <c r="BN273" i="1"/>
  <c r="BK273" i="1"/>
  <c r="BF273" i="1"/>
  <c r="BB273" i="1"/>
  <c r="AE273" i="1"/>
  <c r="U273" i="1"/>
  <c r="P273" i="1"/>
  <c r="I273" i="1"/>
  <c r="CO272" i="1"/>
  <c r="CM272" i="1"/>
  <c r="CI272" i="1"/>
  <c r="CF272" i="1"/>
  <c r="CD272" i="1"/>
  <c r="CC272" i="1"/>
  <c r="BY272" i="1"/>
  <c r="BX272" i="1"/>
  <c r="BW272" i="1"/>
  <c r="BV272" i="1"/>
  <c r="BU272" i="1"/>
  <c r="BT272" i="1"/>
  <c r="BS272" i="1"/>
  <c r="BR272" i="1"/>
  <c r="BQ272" i="1"/>
  <c r="BP272" i="1"/>
  <c r="BO272" i="1"/>
  <c r="BL272" i="1"/>
  <c r="BI272" i="1"/>
  <c r="BH272" i="1"/>
  <c r="BG272" i="1"/>
  <c r="BE272" i="1"/>
  <c r="BD272" i="1"/>
  <c r="BC272" i="1"/>
  <c r="AZ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D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O272" i="1"/>
  <c r="N272" i="1"/>
  <c r="M272" i="1"/>
  <c r="L272" i="1"/>
  <c r="K272" i="1"/>
  <c r="J272" i="1"/>
  <c r="H272" i="1"/>
  <c r="G272" i="1"/>
  <c r="CK271" i="1"/>
  <c r="CB271" i="1"/>
  <c r="BN271" i="1"/>
  <c r="BK271" i="1"/>
  <c r="BF271" i="1"/>
  <c r="BB271" i="1"/>
  <c r="AE271" i="1"/>
  <c r="U271" i="1"/>
  <c r="P271" i="1"/>
  <c r="I271" i="1"/>
  <c r="CO270" i="1"/>
  <c r="CM270" i="1"/>
  <c r="CI270" i="1"/>
  <c r="CF270" i="1"/>
  <c r="CD270" i="1"/>
  <c r="CC270" i="1"/>
  <c r="BY270" i="1"/>
  <c r="BX270" i="1"/>
  <c r="BW270" i="1"/>
  <c r="BV270" i="1"/>
  <c r="BU270" i="1"/>
  <c r="BT270" i="1"/>
  <c r="BS270" i="1"/>
  <c r="BR270" i="1"/>
  <c r="BQ270" i="1"/>
  <c r="BP270" i="1"/>
  <c r="BO270" i="1"/>
  <c r="BL270" i="1"/>
  <c r="BI270" i="1"/>
  <c r="BH270" i="1"/>
  <c r="BG270" i="1"/>
  <c r="BE270" i="1"/>
  <c r="BD270" i="1"/>
  <c r="BC270" i="1"/>
  <c r="AZ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D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O270" i="1"/>
  <c r="N270" i="1"/>
  <c r="M270" i="1"/>
  <c r="L270" i="1"/>
  <c r="K270" i="1"/>
  <c r="J270" i="1"/>
  <c r="H270" i="1"/>
  <c r="G270" i="1"/>
  <c r="CK269" i="1"/>
  <c r="CB269" i="1"/>
  <c r="BN269" i="1"/>
  <c r="BK269" i="1"/>
  <c r="BF269" i="1"/>
  <c r="BB269" i="1"/>
  <c r="AE269" i="1"/>
  <c r="U269" i="1"/>
  <c r="P269" i="1"/>
  <c r="I269" i="1"/>
  <c r="CK265" i="1"/>
  <c r="CB265" i="1"/>
  <c r="BN265" i="1"/>
  <c r="BK265" i="1"/>
  <c r="BF265" i="1"/>
  <c r="BB265" i="1"/>
  <c r="AE265" i="1"/>
  <c r="U265" i="1"/>
  <c r="P265" i="1"/>
  <c r="I265" i="1"/>
  <c r="CK264" i="1"/>
  <c r="CB264" i="1"/>
  <c r="BN264" i="1"/>
  <c r="BK264" i="1"/>
  <c r="BF264" i="1"/>
  <c r="BB264" i="1"/>
  <c r="AE264" i="1"/>
  <c r="U264" i="1"/>
  <c r="P264" i="1"/>
  <c r="I264" i="1"/>
  <c r="CK263" i="1"/>
  <c r="CB263" i="1"/>
  <c r="BN263" i="1"/>
  <c r="BK263" i="1"/>
  <c r="BF263" i="1"/>
  <c r="BB263" i="1"/>
  <c r="AE263" i="1"/>
  <c r="U263" i="1"/>
  <c r="P263" i="1"/>
  <c r="I263" i="1"/>
  <c r="CK262" i="1"/>
  <c r="CB262" i="1"/>
  <c r="BN262" i="1"/>
  <c r="BK262" i="1"/>
  <c r="BF262" i="1"/>
  <c r="BB262" i="1"/>
  <c r="AE262" i="1"/>
  <c r="U262" i="1"/>
  <c r="P262" i="1"/>
  <c r="I262" i="1"/>
  <c r="CK260" i="1"/>
  <c r="CB260" i="1"/>
  <c r="BN260" i="1"/>
  <c r="BK260" i="1"/>
  <c r="BF260" i="1"/>
  <c r="BB260" i="1"/>
  <c r="AE260" i="1"/>
  <c r="U260" i="1"/>
  <c r="P260" i="1"/>
  <c r="I260" i="1"/>
  <c r="CK259" i="1"/>
  <c r="CB259" i="1"/>
  <c r="BN259" i="1"/>
  <c r="BK259" i="1"/>
  <c r="BF259" i="1"/>
  <c r="BB259" i="1"/>
  <c r="AE259" i="1"/>
  <c r="U259" i="1"/>
  <c r="P259" i="1"/>
  <c r="I259" i="1"/>
  <c r="CM256" i="1"/>
  <c r="CI256" i="1"/>
  <c r="CF256" i="1"/>
  <c r="CD256" i="1"/>
  <c r="CC256" i="1"/>
  <c r="BY256" i="1"/>
  <c r="BX256" i="1"/>
  <c r="BW256" i="1"/>
  <c r="BV256" i="1"/>
  <c r="BU256" i="1"/>
  <c r="BT256" i="1"/>
  <c r="BS256" i="1"/>
  <c r="BR256" i="1"/>
  <c r="BQ256" i="1"/>
  <c r="BP256" i="1"/>
  <c r="BO256" i="1"/>
  <c r="BL256" i="1"/>
  <c r="BI256" i="1"/>
  <c r="BH256" i="1"/>
  <c r="BG256" i="1"/>
  <c r="BE256" i="1"/>
  <c r="BD256" i="1"/>
  <c r="BC256" i="1"/>
  <c r="AZ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C256" i="1"/>
  <c r="AB256" i="1"/>
  <c r="AA256" i="1"/>
  <c r="Z256" i="1"/>
  <c r="Y256" i="1"/>
  <c r="X256" i="1"/>
  <c r="W256" i="1"/>
  <c r="V256" i="1"/>
  <c r="T256" i="1"/>
  <c r="S256" i="1"/>
  <c r="R256" i="1"/>
  <c r="Q256" i="1"/>
  <c r="O256" i="1"/>
  <c r="N256" i="1"/>
  <c r="M256" i="1"/>
  <c r="L256" i="1"/>
  <c r="K256" i="1"/>
  <c r="J256" i="1"/>
  <c r="H256" i="1"/>
  <c r="G256" i="1"/>
  <c r="CK255" i="1"/>
  <c r="BN255" i="1"/>
  <c r="BK255" i="1"/>
  <c r="BF255" i="1"/>
  <c r="BB255" i="1"/>
  <c r="P255" i="1"/>
  <c r="CK253" i="1"/>
  <c r="CB253" i="1"/>
  <c r="BN253" i="1"/>
  <c r="BK253" i="1"/>
  <c r="BF253" i="1"/>
  <c r="BB253" i="1"/>
  <c r="AE253" i="1"/>
  <c r="P253" i="1"/>
  <c r="I253" i="1"/>
  <c r="CK252" i="1"/>
  <c r="CB252" i="1"/>
  <c r="BN252" i="1"/>
  <c r="BK252" i="1"/>
  <c r="BF252" i="1"/>
  <c r="BB252" i="1"/>
  <c r="AE252" i="1"/>
  <c r="P252" i="1"/>
  <c r="I252" i="1"/>
  <c r="CK251" i="1"/>
  <c r="CB251" i="1"/>
  <c r="BN251" i="1"/>
  <c r="BK251" i="1"/>
  <c r="BF251" i="1"/>
  <c r="BB251" i="1"/>
  <c r="AE251" i="1"/>
  <c r="P251" i="1"/>
  <c r="I251" i="1"/>
  <c r="CK250" i="1"/>
  <c r="CB250" i="1"/>
  <c r="BN250" i="1"/>
  <c r="BK250" i="1"/>
  <c r="BF250" i="1"/>
  <c r="BB250" i="1"/>
  <c r="AE250" i="1"/>
  <c r="P250" i="1"/>
  <c r="I250" i="1"/>
  <c r="CK249" i="1"/>
  <c r="CB249" i="1"/>
  <c r="BN249" i="1"/>
  <c r="BK249" i="1"/>
  <c r="BF249" i="1"/>
  <c r="BB249" i="1"/>
  <c r="AE249" i="1"/>
  <c r="P249" i="1"/>
  <c r="I249" i="1"/>
  <c r="CK248" i="1"/>
  <c r="CB248" i="1"/>
  <c r="BN248" i="1"/>
  <c r="BK248" i="1"/>
  <c r="BF248" i="1"/>
  <c r="BB248" i="1"/>
  <c r="AE248" i="1"/>
  <c r="P248" i="1"/>
  <c r="I248" i="1"/>
  <c r="CK247" i="1"/>
  <c r="CB247" i="1"/>
  <c r="BN247" i="1"/>
  <c r="BK247" i="1"/>
  <c r="BF247" i="1"/>
  <c r="BB247" i="1"/>
  <c r="AE247" i="1"/>
  <c r="P247" i="1"/>
  <c r="I247" i="1"/>
  <c r="CK246" i="1"/>
  <c r="CB246" i="1"/>
  <c r="BN246" i="1"/>
  <c r="BK246" i="1"/>
  <c r="BF246" i="1"/>
  <c r="BB246" i="1"/>
  <c r="AE246" i="1"/>
  <c r="P246" i="1"/>
  <c r="I246" i="1"/>
  <c r="CK245" i="1"/>
  <c r="CB245" i="1"/>
  <c r="BN245" i="1"/>
  <c r="BK245" i="1"/>
  <c r="BF245" i="1"/>
  <c r="BB245" i="1"/>
  <c r="AE245" i="1"/>
  <c r="P245" i="1"/>
  <c r="I245" i="1"/>
  <c r="CK244" i="1"/>
  <c r="CB244" i="1"/>
  <c r="BN244" i="1"/>
  <c r="BK244" i="1"/>
  <c r="BF244" i="1"/>
  <c r="BB244" i="1"/>
  <c r="AE244" i="1"/>
  <c r="P244" i="1"/>
  <c r="I244" i="1"/>
  <c r="CK243" i="1"/>
  <c r="CB243" i="1"/>
  <c r="BN243" i="1"/>
  <c r="BK243" i="1"/>
  <c r="BF243" i="1"/>
  <c r="BB243" i="1"/>
  <c r="AE243" i="1"/>
  <c r="P243" i="1"/>
  <c r="I243" i="1"/>
  <c r="CK242" i="1"/>
  <c r="CB242" i="1"/>
  <c r="BN242" i="1"/>
  <c r="BK242" i="1"/>
  <c r="BF242" i="1"/>
  <c r="BB242" i="1"/>
  <c r="AE242" i="1"/>
  <c r="P242" i="1"/>
  <c r="I242" i="1"/>
  <c r="CK241" i="1"/>
  <c r="CB241" i="1"/>
  <c r="BN241" i="1"/>
  <c r="BK241" i="1"/>
  <c r="BF241" i="1"/>
  <c r="BB241" i="1"/>
  <c r="AE241" i="1"/>
  <c r="P241" i="1"/>
  <c r="I241" i="1"/>
  <c r="CK240" i="1"/>
  <c r="CB240" i="1"/>
  <c r="BN240" i="1"/>
  <c r="BK240" i="1"/>
  <c r="BF240" i="1"/>
  <c r="BB240" i="1"/>
  <c r="AE240" i="1"/>
  <c r="P240" i="1"/>
  <c r="I240" i="1"/>
  <c r="CK239" i="1"/>
  <c r="CB239" i="1"/>
  <c r="BN239" i="1"/>
  <c r="BK239" i="1"/>
  <c r="BF239" i="1"/>
  <c r="BB239" i="1"/>
  <c r="AE239" i="1"/>
  <c r="P239" i="1"/>
  <c r="I239" i="1"/>
  <c r="CK238" i="1"/>
  <c r="CB238" i="1"/>
  <c r="BN238" i="1"/>
  <c r="BK238" i="1"/>
  <c r="BF238" i="1"/>
  <c r="BB238" i="1"/>
  <c r="AE238" i="1"/>
  <c r="P238" i="1"/>
  <c r="I238" i="1"/>
  <c r="CK237" i="1"/>
  <c r="CB237" i="1"/>
  <c r="BN237" i="1"/>
  <c r="BK237" i="1"/>
  <c r="BF237" i="1"/>
  <c r="BB237" i="1"/>
  <c r="AE237" i="1"/>
  <c r="P237" i="1"/>
  <c r="I237" i="1"/>
  <c r="CK236" i="1"/>
  <c r="CB236" i="1"/>
  <c r="BN236" i="1"/>
  <c r="BK236" i="1"/>
  <c r="BF236" i="1"/>
  <c r="BB236" i="1"/>
  <c r="AE236" i="1"/>
  <c r="P236" i="1"/>
  <c r="I236" i="1"/>
  <c r="CK235" i="1"/>
  <c r="CB235" i="1"/>
  <c r="BN235" i="1"/>
  <c r="BK235" i="1"/>
  <c r="BF235" i="1"/>
  <c r="BB235" i="1"/>
  <c r="AE235" i="1"/>
  <c r="P235" i="1"/>
  <c r="I235" i="1"/>
  <c r="CK234" i="1"/>
  <c r="CB234" i="1"/>
  <c r="BN234" i="1"/>
  <c r="BK234" i="1"/>
  <c r="BF234" i="1"/>
  <c r="BB234" i="1"/>
  <c r="AE234" i="1"/>
  <c r="P234" i="1"/>
  <c r="I234" i="1"/>
  <c r="CK233" i="1"/>
  <c r="CB233" i="1"/>
  <c r="BN233" i="1"/>
  <c r="BK233" i="1"/>
  <c r="BF233" i="1"/>
  <c r="BB233" i="1"/>
  <c r="AE233" i="1"/>
  <c r="P233" i="1"/>
  <c r="I233" i="1"/>
  <c r="CK232" i="1"/>
  <c r="CB232" i="1"/>
  <c r="BN232" i="1"/>
  <c r="BK232" i="1"/>
  <c r="BF232" i="1"/>
  <c r="BB232" i="1"/>
  <c r="AE232" i="1"/>
  <c r="P232" i="1"/>
  <c r="I232" i="1"/>
  <c r="CO231" i="1"/>
  <c r="CM231" i="1"/>
  <c r="CI231" i="1"/>
  <c r="CF231" i="1"/>
  <c r="CC231" i="1"/>
  <c r="BY231" i="1"/>
  <c r="BX231" i="1"/>
  <c r="BW231" i="1"/>
  <c r="BV231" i="1"/>
  <c r="BU231" i="1"/>
  <c r="BT231" i="1"/>
  <c r="BS231" i="1"/>
  <c r="BR231" i="1"/>
  <c r="BQ231" i="1"/>
  <c r="BP231" i="1"/>
  <c r="BO231" i="1"/>
  <c r="BL231" i="1"/>
  <c r="BI231" i="1"/>
  <c r="BH231" i="1"/>
  <c r="BG231" i="1"/>
  <c r="BE231" i="1"/>
  <c r="BD231" i="1"/>
  <c r="BC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J231" i="1"/>
  <c r="AG231" i="1"/>
  <c r="AF231" i="1"/>
  <c r="AD231" i="1"/>
  <c r="AB231" i="1"/>
  <c r="S231" i="1"/>
  <c r="Q231" i="1"/>
  <c r="M231" i="1"/>
  <c r="L231" i="1"/>
  <c r="K231" i="1"/>
  <c r="H231" i="1"/>
  <c r="G231" i="1"/>
  <c r="CK228" i="1"/>
  <c r="CB228" i="1"/>
  <c r="BN228" i="1"/>
  <c r="BK228" i="1"/>
  <c r="BF228" i="1"/>
  <c r="BB228" i="1"/>
  <c r="AE228" i="1"/>
  <c r="U228" i="1"/>
  <c r="P228" i="1"/>
  <c r="I228" i="1"/>
  <c r="CK227" i="1"/>
  <c r="CB227" i="1"/>
  <c r="BN227" i="1"/>
  <c r="BK227" i="1"/>
  <c r="BF227" i="1"/>
  <c r="BB227" i="1"/>
  <c r="AE227" i="1"/>
  <c r="U227" i="1"/>
  <c r="P227" i="1"/>
  <c r="O227" i="1"/>
  <c r="CK225" i="1"/>
  <c r="CB225" i="1"/>
  <c r="BN225" i="1"/>
  <c r="BK225" i="1"/>
  <c r="BF225" i="1"/>
  <c r="BB225" i="1"/>
  <c r="AE225" i="1"/>
  <c r="U225" i="1"/>
  <c r="P225" i="1"/>
  <c r="I225" i="1"/>
  <c r="CK221" i="1"/>
  <c r="CB221" i="1"/>
  <c r="BN221" i="1"/>
  <c r="BK221" i="1"/>
  <c r="BF221" i="1"/>
  <c r="BB221" i="1"/>
  <c r="AE221" i="1"/>
  <c r="U221" i="1"/>
  <c r="P221" i="1"/>
  <c r="I221" i="1"/>
  <c r="CK219" i="1"/>
  <c r="CB219" i="1"/>
  <c r="BN219" i="1"/>
  <c r="BK219" i="1"/>
  <c r="BF219" i="1"/>
  <c r="BB219" i="1"/>
  <c r="AE219" i="1"/>
  <c r="U219" i="1"/>
  <c r="P219" i="1"/>
  <c r="I219" i="1"/>
  <c r="CK217" i="1"/>
  <c r="CB217" i="1"/>
  <c r="BN217" i="1"/>
  <c r="BK217" i="1"/>
  <c r="BF217" i="1"/>
  <c r="BB217" i="1"/>
  <c r="U217" i="1"/>
  <c r="P217" i="1"/>
  <c r="I217" i="1"/>
  <c r="CK214" i="1"/>
  <c r="CB214" i="1"/>
  <c r="BN214" i="1"/>
  <c r="BK214" i="1"/>
  <c r="BF214" i="1"/>
  <c r="BB214" i="1"/>
  <c r="AE214" i="1"/>
  <c r="U214" i="1"/>
  <c r="P214" i="1"/>
  <c r="I214" i="1"/>
  <c r="CO213" i="1"/>
  <c r="CM213" i="1"/>
  <c r="CI213" i="1"/>
  <c r="CF213" i="1"/>
  <c r="CD213" i="1"/>
  <c r="CC213" i="1"/>
  <c r="BY213" i="1"/>
  <c r="BX213" i="1"/>
  <c r="BW213" i="1"/>
  <c r="BV213" i="1"/>
  <c r="BU213" i="1"/>
  <c r="BT213" i="1"/>
  <c r="BS213" i="1"/>
  <c r="BR213" i="1"/>
  <c r="BQ213" i="1"/>
  <c r="BP213" i="1"/>
  <c r="BO213" i="1"/>
  <c r="BL213" i="1"/>
  <c r="BI213" i="1"/>
  <c r="BH213" i="1"/>
  <c r="BG213" i="1"/>
  <c r="BE213" i="1"/>
  <c r="BD213" i="1"/>
  <c r="BC213" i="1"/>
  <c r="AZ213" i="1"/>
  <c r="AX213" i="1"/>
  <c r="AW213" i="1"/>
  <c r="AV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D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O213" i="1"/>
  <c r="N213" i="1"/>
  <c r="M213" i="1"/>
  <c r="L213" i="1"/>
  <c r="K213" i="1"/>
  <c r="J213" i="1"/>
  <c r="H213" i="1"/>
  <c r="G213" i="1"/>
  <c r="CK211" i="1"/>
  <c r="CB211" i="1"/>
  <c r="BN211" i="1"/>
  <c r="BK211" i="1"/>
  <c r="BF211" i="1"/>
  <c r="BB211" i="1"/>
  <c r="AE211" i="1"/>
  <c r="U211" i="1"/>
  <c r="P211" i="1"/>
  <c r="I211" i="1"/>
  <c r="CK210" i="1"/>
  <c r="CB210" i="1"/>
  <c r="BN210" i="1"/>
  <c r="BK210" i="1"/>
  <c r="BF210" i="1"/>
  <c r="BB210" i="1"/>
  <c r="AE210" i="1"/>
  <c r="U210" i="1"/>
  <c r="P210" i="1"/>
  <c r="I210" i="1"/>
  <c r="CO209" i="1"/>
  <c r="CM209" i="1"/>
  <c r="CI209" i="1"/>
  <c r="CF209" i="1"/>
  <c r="CD209" i="1"/>
  <c r="CC209" i="1"/>
  <c r="BY209" i="1"/>
  <c r="BX209" i="1"/>
  <c r="BW209" i="1"/>
  <c r="BV209" i="1"/>
  <c r="BU209" i="1"/>
  <c r="BT209" i="1"/>
  <c r="BS209" i="1"/>
  <c r="BR209" i="1"/>
  <c r="BQ209" i="1"/>
  <c r="BP209" i="1"/>
  <c r="BO209" i="1"/>
  <c r="BL209" i="1"/>
  <c r="BI209" i="1"/>
  <c r="BH209" i="1"/>
  <c r="BG209" i="1"/>
  <c r="BE209" i="1"/>
  <c r="BD209" i="1"/>
  <c r="BC209" i="1"/>
  <c r="AZ209" i="1"/>
  <c r="AX209" i="1"/>
  <c r="AW209" i="1"/>
  <c r="AV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D209" i="1"/>
  <c r="AC209" i="1"/>
  <c r="AB209" i="1"/>
  <c r="AA209" i="1"/>
  <c r="Z209" i="1"/>
  <c r="Y209" i="1"/>
  <c r="X209" i="1"/>
  <c r="W209" i="1"/>
  <c r="V209" i="1"/>
  <c r="T209" i="1"/>
  <c r="S209" i="1"/>
  <c r="R209" i="1"/>
  <c r="Q209" i="1"/>
  <c r="O209" i="1"/>
  <c r="N209" i="1"/>
  <c r="M209" i="1"/>
  <c r="L209" i="1"/>
  <c r="K209" i="1"/>
  <c r="J209" i="1"/>
  <c r="H209" i="1"/>
  <c r="G209" i="1"/>
  <c r="CK207" i="1"/>
  <c r="CB207" i="1"/>
  <c r="BN207" i="1"/>
  <c r="BK207" i="1"/>
  <c r="BF207" i="1"/>
  <c r="BB207" i="1"/>
  <c r="AE207" i="1"/>
  <c r="P207" i="1"/>
  <c r="I207" i="1"/>
  <c r="CK205" i="1"/>
  <c r="CB205" i="1"/>
  <c r="BN205" i="1"/>
  <c r="BK205" i="1"/>
  <c r="BF205" i="1"/>
  <c r="BB205" i="1"/>
  <c r="AE205" i="1"/>
  <c r="U205" i="1"/>
  <c r="P205" i="1"/>
  <c r="I205" i="1"/>
  <c r="CK204" i="1"/>
  <c r="CB204" i="1"/>
  <c r="BN204" i="1"/>
  <c r="BK204" i="1"/>
  <c r="BF204" i="1"/>
  <c r="BB204" i="1"/>
  <c r="AE204" i="1"/>
  <c r="U204" i="1"/>
  <c r="P204" i="1"/>
  <c r="I204" i="1"/>
  <c r="CK203" i="1"/>
  <c r="CB203" i="1"/>
  <c r="BN203" i="1"/>
  <c r="BK203" i="1"/>
  <c r="BF203" i="1"/>
  <c r="BB203" i="1"/>
  <c r="AE203" i="1"/>
  <c r="U203" i="1"/>
  <c r="P203" i="1"/>
  <c r="I203" i="1"/>
  <c r="CK202" i="1"/>
  <c r="CB202" i="1"/>
  <c r="BN202" i="1"/>
  <c r="BK202" i="1"/>
  <c r="BF202" i="1"/>
  <c r="BB202" i="1"/>
  <c r="AE202" i="1"/>
  <c r="U202" i="1"/>
  <c r="P202" i="1"/>
  <c r="I202" i="1"/>
  <c r="CK201" i="1"/>
  <c r="CB201" i="1"/>
  <c r="BN201" i="1"/>
  <c r="BK201" i="1"/>
  <c r="BF201" i="1"/>
  <c r="BB201" i="1"/>
  <c r="AE201" i="1"/>
  <c r="U201" i="1"/>
  <c r="P201" i="1"/>
  <c r="I201" i="1"/>
  <c r="CK200" i="1"/>
  <c r="CB200" i="1"/>
  <c r="BN200" i="1"/>
  <c r="BK200" i="1"/>
  <c r="BF200" i="1"/>
  <c r="BB200" i="1"/>
  <c r="AE200" i="1"/>
  <c r="U200" i="1"/>
  <c r="P200" i="1"/>
  <c r="I200" i="1"/>
  <c r="CK199" i="1"/>
  <c r="CB199" i="1"/>
  <c r="BN199" i="1"/>
  <c r="BK199" i="1"/>
  <c r="BF199" i="1"/>
  <c r="BB199" i="1"/>
  <c r="AE199" i="1"/>
  <c r="U199" i="1"/>
  <c r="P199" i="1"/>
  <c r="I199" i="1"/>
  <c r="CK198" i="1"/>
  <c r="CB198" i="1"/>
  <c r="BN198" i="1"/>
  <c r="BK198" i="1"/>
  <c r="BF198" i="1"/>
  <c r="BB198" i="1"/>
  <c r="AE198" i="1"/>
  <c r="U198" i="1"/>
  <c r="P198" i="1"/>
  <c r="I198" i="1"/>
  <c r="CO197" i="1"/>
  <c r="CM197" i="1"/>
  <c r="CI197" i="1"/>
  <c r="CF197" i="1"/>
  <c r="CD197" i="1"/>
  <c r="CC197" i="1"/>
  <c r="BY197" i="1"/>
  <c r="BX197" i="1"/>
  <c r="BW197" i="1"/>
  <c r="BV197" i="1"/>
  <c r="BU197" i="1"/>
  <c r="BT197" i="1"/>
  <c r="BS197" i="1"/>
  <c r="BR197" i="1"/>
  <c r="BQ197" i="1"/>
  <c r="BP197" i="1"/>
  <c r="BO197" i="1"/>
  <c r="BL197" i="1"/>
  <c r="BI197" i="1"/>
  <c r="BH197" i="1"/>
  <c r="BG197" i="1"/>
  <c r="BE197" i="1"/>
  <c r="BD197" i="1"/>
  <c r="BC197" i="1"/>
  <c r="AZ197" i="1"/>
  <c r="AX197" i="1"/>
  <c r="AW197" i="1"/>
  <c r="AV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D197" i="1"/>
  <c r="AC197" i="1"/>
  <c r="AA197" i="1"/>
  <c r="Z197" i="1"/>
  <c r="Y197" i="1"/>
  <c r="X197" i="1"/>
  <c r="W197" i="1"/>
  <c r="V197" i="1"/>
  <c r="T197" i="1"/>
  <c r="S197" i="1"/>
  <c r="R197" i="1"/>
  <c r="Q197" i="1"/>
  <c r="O197" i="1"/>
  <c r="N197" i="1"/>
  <c r="M197" i="1"/>
  <c r="L197" i="1"/>
  <c r="K197" i="1"/>
  <c r="J197" i="1"/>
  <c r="H197" i="1"/>
  <c r="G197" i="1"/>
  <c r="CK196" i="1"/>
  <c r="CB196" i="1"/>
  <c r="BN196" i="1"/>
  <c r="BK196" i="1"/>
  <c r="BF196" i="1"/>
  <c r="BB196" i="1"/>
  <c r="U196" i="1"/>
  <c r="P196" i="1"/>
  <c r="I196" i="1"/>
  <c r="CK195" i="1"/>
  <c r="CB195" i="1"/>
  <c r="BN195" i="1"/>
  <c r="BK195" i="1"/>
  <c r="BF195" i="1"/>
  <c r="BB195" i="1"/>
  <c r="U195" i="1"/>
  <c r="P195" i="1"/>
  <c r="I195" i="1"/>
  <c r="CK194" i="1"/>
  <c r="CB194" i="1"/>
  <c r="BK194" i="1"/>
  <c r="BF194" i="1"/>
  <c r="BB194" i="1"/>
  <c r="U194" i="1"/>
  <c r="P194" i="1"/>
  <c r="I194" i="1"/>
  <c r="CK193" i="1"/>
  <c r="CB193" i="1"/>
  <c r="BN193" i="1"/>
  <c r="BK193" i="1"/>
  <c r="BF193" i="1"/>
  <c r="BB193" i="1"/>
  <c r="U193" i="1"/>
  <c r="P193" i="1"/>
  <c r="I193" i="1"/>
  <c r="CK192" i="1"/>
  <c r="CB192" i="1"/>
  <c r="BK192" i="1"/>
  <c r="BF192" i="1"/>
  <c r="BB192" i="1"/>
  <c r="U192" i="1"/>
  <c r="P192" i="1"/>
  <c r="I192" i="1"/>
  <c r="CK191" i="1"/>
  <c r="CB191" i="1"/>
  <c r="BN191" i="1"/>
  <c r="BK191" i="1"/>
  <c r="BF191" i="1"/>
  <c r="BB191" i="1"/>
  <c r="U191" i="1"/>
  <c r="P191" i="1"/>
  <c r="I191" i="1"/>
  <c r="CK190" i="1"/>
  <c r="CB190" i="1"/>
  <c r="BN190" i="1"/>
  <c r="BK190" i="1"/>
  <c r="BF190" i="1"/>
  <c r="BB190" i="1"/>
  <c r="U190" i="1"/>
  <c r="P190" i="1"/>
  <c r="I190" i="1"/>
  <c r="CO189" i="1"/>
  <c r="CM189" i="1"/>
  <c r="CI189" i="1"/>
  <c r="CF189" i="1"/>
  <c r="CD189" i="1"/>
  <c r="CC189" i="1"/>
  <c r="BW189" i="1"/>
  <c r="BV189" i="1"/>
  <c r="BU189" i="1"/>
  <c r="BT189" i="1"/>
  <c r="BS189" i="1"/>
  <c r="BR189" i="1"/>
  <c r="BQ189" i="1"/>
  <c r="BP189" i="1"/>
  <c r="BO189" i="1"/>
  <c r="BL189" i="1"/>
  <c r="BI189" i="1"/>
  <c r="BH189" i="1"/>
  <c r="BG189" i="1"/>
  <c r="BE189" i="1"/>
  <c r="BD189" i="1"/>
  <c r="BC189" i="1"/>
  <c r="AZ189" i="1"/>
  <c r="AX189" i="1"/>
  <c r="AW189" i="1"/>
  <c r="AV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T189" i="1"/>
  <c r="S189" i="1"/>
  <c r="R189" i="1"/>
  <c r="Q189" i="1"/>
  <c r="O189" i="1"/>
  <c r="N189" i="1"/>
  <c r="M189" i="1"/>
  <c r="L189" i="1"/>
  <c r="K189" i="1"/>
  <c r="J189" i="1"/>
  <c r="CK188" i="1"/>
  <c r="CB188" i="1"/>
  <c r="BN188" i="1"/>
  <c r="BK188" i="1"/>
  <c r="BF188" i="1"/>
  <c r="BB188" i="1"/>
  <c r="U188" i="1"/>
  <c r="P188" i="1"/>
  <c r="I188" i="1"/>
  <c r="CO187" i="1"/>
  <c r="CM187" i="1"/>
  <c r="CI187" i="1"/>
  <c r="CF187" i="1"/>
  <c r="CD187" i="1"/>
  <c r="CC187" i="1"/>
  <c r="BY187" i="1"/>
  <c r="BX187" i="1"/>
  <c r="BW187" i="1"/>
  <c r="BV187" i="1"/>
  <c r="BU187" i="1"/>
  <c r="BT187" i="1"/>
  <c r="BS187" i="1"/>
  <c r="BR187" i="1"/>
  <c r="BQ187" i="1"/>
  <c r="BO187" i="1"/>
  <c r="BL187" i="1"/>
  <c r="BI187" i="1"/>
  <c r="BH187" i="1"/>
  <c r="BG187" i="1"/>
  <c r="BE187" i="1"/>
  <c r="BD187" i="1"/>
  <c r="BC187" i="1"/>
  <c r="AZ187" i="1"/>
  <c r="AX187" i="1"/>
  <c r="AW187" i="1"/>
  <c r="AV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O187" i="1"/>
  <c r="N187" i="1"/>
  <c r="M187" i="1"/>
  <c r="L187" i="1"/>
  <c r="K187" i="1"/>
  <c r="J187" i="1"/>
  <c r="H187" i="1"/>
  <c r="G187" i="1"/>
  <c r="CK186" i="1"/>
  <c r="CB186" i="1"/>
  <c r="BN186" i="1"/>
  <c r="BK186" i="1"/>
  <c r="BF186" i="1"/>
  <c r="BB186" i="1"/>
  <c r="AE186" i="1"/>
  <c r="U186" i="1"/>
  <c r="P186" i="1"/>
  <c r="I186" i="1"/>
  <c r="CO185" i="1"/>
  <c r="CM185" i="1"/>
  <c r="CI185" i="1"/>
  <c r="CF185" i="1"/>
  <c r="CD185" i="1"/>
  <c r="CC185" i="1"/>
  <c r="BY185" i="1"/>
  <c r="BX185" i="1"/>
  <c r="BW185" i="1"/>
  <c r="BV185" i="1"/>
  <c r="BU185" i="1"/>
  <c r="BT185" i="1"/>
  <c r="BS185" i="1"/>
  <c r="BR185" i="1"/>
  <c r="BQ185" i="1"/>
  <c r="BP185" i="1"/>
  <c r="BO185" i="1"/>
  <c r="BL185" i="1"/>
  <c r="BI185" i="1"/>
  <c r="BH185" i="1"/>
  <c r="BG185" i="1"/>
  <c r="BE185" i="1"/>
  <c r="BD185" i="1"/>
  <c r="BC185" i="1"/>
  <c r="AZ185" i="1"/>
  <c r="AX185" i="1"/>
  <c r="AW185" i="1"/>
  <c r="AV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O185" i="1"/>
  <c r="N185" i="1"/>
  <c r="M185" i="1"/>
  <c r="L185" i="1"/>
  <c r="K185" i="1"/>
  <c r="J185" i="1"/>
  <c r="H185" i="1"/>
  <c r="G185" i="1"/>
  <c r="CK184" i="1"/>
  <c r="CB184" i="1"/>
  <c r="BN184" i="1"/>
  <c r="BK184" i="1"/>
  <c r="BF184" i="1"/>
  <c r="BB184" i="1"/>
  <c r="AE184" i="1"/>
  <c r="U184" i="1"/>
  <c r="P184" i="1"/>
  <c r="I184" i="1"/>
  <c r="CO183" i="1"/>
  <c r="CM183" i="1"/>
  <c r="CI183" i="1"/>
  <c r="CF183" i="1"/>
  <c r="CD183" i="1"/>
  <c r="CC183" i="1"/>
  <c r="BY183" i="1"/>
  <c r="BX183" i="1"/>
  <c r="BW183" i="1"/>
  <c r="BV183" i="1"/>
  <c r="BU183" i="1"/>
  <c r="BT183" i="1"/>
  <c r="BS183" i="1"/>
  <c r="BR183" i="1"/>
  <c r="BQ183" i="1"/>
  <c r="BP183" i="1"/>
  <c r="BO183" i="1"/>
  <c r="BL183" i="1"/>
  <c r="BI183" i="1"/>
  <c r="BH183" i="1"/>
  <c r="BG183" i="1"/>
  <c r="BE183" i="1"/>
  <c r="BD183" i="1"/>
  <c r="BC183" i="1"/>
  <c r="AZ183" i="1"/>
  <c r="AX183" i="1"/>
  <c r="AW183" i="1"/>
  <c r="AV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D183" i="1"/>
  <c r="AC183" i="1"/>
  <c r="AB183" i="1"/>
  <c r="AA183" i="1"/>
  <c r="Z183" i="1"/>
  <c r="Y183" i="1"/>
  <c r="X183" i="1"/>
  <c r="W183" i="1"/>
  <c r="V183" i="1"/>
  <c r="T183" i="1"/>
  <c r="S183" i="1"/>
  <c r="R183" i="1"/>
  <c r="Q183" i="1"/>
  <c r="O183" i="1"/>
  <c r="N183" i="1"/>
  <c r="M183" i="1"/>
  <c r="L183" i="1"/>
  <c r="K183" i="1"/>
  <c r="J183" i="1"/>
  <c r="H183" i="1"/>
  <c r="G183" i="1"/>
  <c r="CK182" i="1"/>
  <c r="CB182" i="1"/>
  <c r="BK182" i="1"/>
  <c r="BF182" i="1"/>
  <c r="BB182" i="1"/>
  <c r="AE182" i="1"/>
  <c r="U182" i="1"/>
  <c r="P182" i="1"/>
  <c r="I182" i="1"/>
  <c r="CO181" i="1"/>
  <c r="CM181" i="1"/>
  <c r="CI181" i="1"/>
  <c r="CF181" i="1"/>
  <c r="CD181" i="1"/>
  <c r="CC181" i="1"/>
  <c r="BY181" i="1"/>
  <c r="BW181" i="1"/>
  <c r="BV181" i="1"/>
  <c r="BU181" i="1"/>
  <c r="BT181" i="1"/>
  <c r="BS181" i="1"/>
  <c r="BR181" i="1"/>
  <c r="BQ181" i="1"/>
  <c r="BP181" i="1"/>
  <c r="BO181" i="1"/>
  <c r="BL181" i="1"/>
  <c r="BI181" i="1"/>
  <c r="BH181" i="1"/>
  <c r="BG181" i="1"/>
  <c r="BE181" i="1"/>
  <c r="BD181" i="1"/>
  <c r="BC181" i="1"/>
  <c r="AZ181" i="1"/>
  <c r="AX181" i="1"/>
  <c r="AW181" i="1"/>
  <c r="AV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O181" i="1"/>
  <c r="N181" i="1"/>
  <c r="M181" i="1"/>
  <c r="L181" i="1"/>
  <c r="K181" i="1"/>
  <c r="J181" i="1"/>
  <c r="H181" i="1"/>
  <c r="G181" i="1"/>
  <c r="CK180" i="1"/>
  <c r="CB180" i="1"/>
  <c r="BN180" i="1"/>
  <c r="BK180" i="1"/>
  <c r="BF180" i="1"/>
  <c r="BB180" i="1"/>
  <c r="AE180" i="1"/>
  <c r="U180" i="1"/>
  <c r="P180" i="1"/>
  <c r="I180" i="1"/>
  <c r="CK179" i="1"/>
  <c r="CB179" i="1"/>
  <c r="BN179" i="1"/>
  <c r="BK179" i="1"/>
  <c r="BF179" i="1"/>
  <c r="BB179" i="1"/>
  <c r="AE179" i="1"/>
  <c r="U179" i="1"/>
  <c r="P179" i="1"/>
  <c r="I179" i="1"/>
  <c r="CK178" i="1"/>
  <c r="CB178" i="1"/>
  <c r="BN178" i="1"/>
  <c r="BK178" i="1"/>
  <c r="BF178" i="1"/>
  <c r="BB178" i="1"/>
  <c r="AE178" i="1"/>
  <c r="U178" i="1"/>
  <c r="P178" i="1"/>
  <c r="I178" i="1"/>
  <c r="CO177" i="1"/>
  <c r="CM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CK176" i="1"/>
  <c r="CB176" i="1"/>
  <c r="BN176" i="1"/>
  <c r="BK176" i="1"/>
  <c r="BF176" i="1"/>
  <c r="BB176" i="1"/>
  <c r="AE176" i="1"/>
  <c r="U176" i="1"/>
  <c r="P176" i="1"/>
  <c r="I176" i="1"/>
  <c r="CK175" i="1"/>
  <c r="CB175" i="1"/>
  <c r="BN175" i="1"/>
  <c r="BK175" i="1"/>
  <c r="BF175" i="1"/>
  <c r="BB175" i="1"/>
  <c r="AE175" i="1"/>
  <c r="U175" i="1"/>
  <c r="P175" i="1"/>
  <c r="I175" i="1"/>
  <c r="CK173" i="1"/>
  <c r="CB173" i="1"/>
  <c r="BN173" i="1"/>
  <c r="BK173" i="1"/>
  <c r="BF173" i="1"/>
  <c r="BB173" i="1"/>
  <c r="AE173" i="1"/>
  <c r="U173" i="1"/>
  <c r="P173" i="1"/>
  <c r="I173" i="1"/>
  <c r="CO172" i="1"/>
  <c r="CM172" i="1"/>
  <c r="CI172" i="1"/>
  <c r="CF172" i="1"/>
  <c r="CD172" i="1"/>
  <c r="CC172" i="1"/>
  <c r="BY172" i="1"/>
  <c r="BX172" i="1"/>
  <c r="BW172" i="1"/>
  <c r="BV172" i="1"/>
  <c r="BU172" i="1"/>
  <c r="BT172" i="1"/>
  <c r="BS172" i="1"/>
  <c r="BR172" i="1"/>
  <c r="BQ172" i="1"/>
  <c r="BP172" i="1"/>
  <c r="BO172" i="1"/>
  <c r="BL172" i="1"/>
  <c r="BI172" i="1"/>
  <c r="BH172" i="1"/>
  <c r="BG172" i="1"/>
  <c r="BE172" i="1"/>
  <c r="BD172" i="1"/>
  <c r="BC172" i="1"/>
  <c r="AZ172" i="1"/>
  <c r="AX172" i="1"/>
  <c r="AW172" i="1"/>
  <c r="AV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D172" i="1"/>
  <c r="AC172" i="1"/>
  <c r="AB172" i="1"/>
  <c r="AA172" i="1"/>
  <c r="Z172" i="1"/>
  <c r="Y172" i="1"/>
  <c r="X172" i="1"/>
  <c r="W172" i="1"/>
  <c r="V172" i="1"/>
  <c r="T172" i="1"/>
  <c r="S172" i="1"/>
  <c r="R172" i="1"/>
  <c r="Q172" i="1"/>
  <c r="O172" i="1"/>
  <c r="N172" i="1"/>
  <c r="M172" i="1"/>
  <c r="L172" i="1"/>
  <c r="K172" i="1"/>
  <c r="J172" i="1"/>
  <c r="H172" i="1"/>
  <c r="CK171" i="1"/>
  <c r="CB171" i="1"/>
  <c r="BN171" i="1"/>
  <c r="BK171" i="1"/>
  <c r="BF171" i="1"/>
  <c r="BB171" i="1"/>
  <c r="U171" i="1"/>
  <c r="P171" i="1"/>
  <c r="I171" i="1"/>
  <c r="CO170" i="1"/>
  <c r="CM170" i="1"/>
  <c r="CI170" i="1"/>
  <c r="CF170" i="1"/>
  <c r="CD170" i="1"/>
  <c r="CC170" i="1"/>
  <c r="BY170" i="1"/>
  <c r="BX170" i="1"/>
  <c r="BW170" i="1"/>
  <c r="BV170" i="1"/>
  <c r="BU170" i="1"/>
  <c r="BT170" i="1"/>
  <c r="BS170" i="1"/>
  <c r="BR170" i="1"/>
  <c r="BQ170" i="1"/>
  <c r="BP170" i="1"/>
  <c r="BO170" i="1"/>
  <c r="BL170" i="1"/>
  <c r="BI170" i="1"/>
  <c r="BH170" i="1"/>
  <c r="BG170" i="1"/>
  <c r="BE170" i="1"/>
  <c r="BD170" i="1"/>
  <c r="BC170" i="1"/>
  <c r="AZ170" i="1"/>
  <c r="AX170" i="1"/>
  <c r="AW170" i="1"/>
  <c r="AV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T170" i="1"/>
  <c r="S170" i="1"/>
  <c r="R170" i="1"/>
  <c r="Q170" i="1"/>
  <c r="O170" i="1"/>
  <c r="N170" i="1"/>
  <c r="M170" i="1"/>
  <c r="L170" i="1"/>
  <c r="K170" i="1"/>
  <c r="J170" i="1"/>
  <c r="H170" i="1"/>
  <c r="G170" i="1"/>
  <c r="CK169" i="1"/>
  <c r="CB169" i="1"/>
  <c r="BN169" i="1"/>
  <c r="BK169" i="1"/>
  <c r="BF169" i="1"/>
  <c r="BB169" i="1"/>
  <c r="AE169" i="1"/>
  <c r="U169" i="1"/>
  <c r="P169" i="1"/>
  <c r="I169" i="1"/>
  <c r="CK168" i="1"/>
  <c r="CB168" i="1"/>
  <c r="BN168" i="1"/>
  <c r="BK168" i="1"/>
  <c r="BF168" i="1"/>
  <c r="BB168" i="1"/>
  <c r="AE168" i="1"/>
  <c r="U168" i="1"/>
  <c r="P168" i="1"/>
  <c r="I168" i="1"/>
  <c r="CO167" i="1"/>
  <c r="CM167" i="1"/>
  <c r="CI167" i="1"/>
  <c r="CF167" i="1"/>
  <c r="CD167" i="1"/>
  <c r="CC167" i="1"/>
  <c r="BY167" i="1"/>
  <c r="BX167" i="1"/>
  <c r="BW167" i="1"/>
  <c r="BV167" i="1"/>
  <c r="BU167" i="1"/>
  <c r="BT167" i="1"/>
  <c r="BS167" i="1"/>
  <c r="BR167" i="1"/>
  <c r="BQ167" i="1"/>
  <c r="BP167" i="1"/>
  <c r="BO167" i="1"/>
  <c r="BL167" i="1"/>
  <c r="BI167" i="1"/>
  <c r="BH167" i="1"/>
  <c r="BG167" i="1"/>
  <c r="BE167" i="1"/>
  <c r="BD167" i="1"/>
  <c r="BC167" i="1"/>
  <c r="AZ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D167" i="1"/>
  <c r="AC167" i="1"/>
  <c r="AB167" i="1"/>
  <c r="AA167" i="1"/>
  <c r="Z167" i="1"/>
  <c r="Y167" i="1"/>
  <c r="X167" i="1"/>
  <c r="W167" i="1"/>
  <c r="V167" i="1"/>
  <c r="T167" i="1"/>
  <c r="S167" i="1"/>
  <c r="R167" i="1"/>
  <c r="Q167" i="1"/>
  <c r="O167" i="1"/>
  <c r="N167" i="1"/>
  <c r="M167" i="1"/>
  <c r="L167" i="1"/>
  <c r="K167" i="1"/>
  <c r="J167" i="1"/>
  <c r="G167" i="1"/>
  <c r="CK166" i="1"/>
  <c r="CB166" i="1"/>
  <c r="BN166" i="1"/>
  <c r="BK166" i="1"/>
  <c r="BF166" i="1"/>
  <c r="BB166" i="1"/>
  <c r="AE166" i="1"/>
  <c r="U166" i="1"/>
  <c r="P166" i="1"/>
  <c r="I166" i="1"/>
  <c r="CK165" i="1"/>
  <c r="CB165" i="1"/>
  <c r="BN165" i="1"/>
  <c r="BK165" i="1"/>
  <c r="BF165" i="1"/>
  <c r="BB165" i="1"/>
  <c r="AE165" i="1"/>
  <c r="U165" i="1"/>
  <c r="P165" i="1"/>
  <c r="CO164" i="1"/>
  <c r="CN164" i="1"/>
  <c r="CM164" i="1"/>
  <c r="CI164" i="1"/>
  <c r="CF164" i="1"/>
  <c r="CD164" i="1"/>
  <c r="CC164" i="1"/>
  <c r="BY164" i="1"/>
  <c r="BX164" i="1"/>
  <c r="BW164" i="1"/>
  <c r="BV164" i="1"/>
  <c r="BU164" i="1"/>
  <c r="BT164" i="1"/>
  <c r="BS164" i="1"/>
  <c r="BR164" i="1"/>
  <c r="BQ164" i="1"/>
  <c r="BP164" i="1"/>
  <c r="BO164" i="1"/>
  <c r="BL164" i="1"/>
  <c r="BI164" i="1"/>
  <c r="BH164" i="1"/>
  <c r="BG164" i="1"/>
  <c r="BE164" i="1"/>
  <c r="BD164" i="1"/>
  <c r="BC164" i="1"/>
  <c r="AZ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D164" i="1"/>
  <c r="AC164" i="1"/>
  <c r="AB164" i="1"/>
  <c r="AA164" i="1"/>
  <c r="Z164" i="1"/>
  <c r="Y164" i="1"/>
  <c r="X164" i="1"/>
  <c r="W164" i="1"/>
  <c r="V164" i="1"/>
  <c r="T164" i="1"/>
  <c r="S164" i="1"/>
  <c r="R164" i="1"/>
  <c r="Q164" i="1"/>
  <c r="N164" i="1"/>
  <c r="M164" i="1"/>
  <c r="L164" i="1"/>
  <c r="K164" i="1"/>
  <c r="J164" i="1"/>
  <c r="H164" i="1"/>
  <c r="G164" i="1"/>
  <c r="CK163" i="1"/>
  <c r="CB163" i="1"/>
  <c r="BN163" i="1"/>
  <c r="BK163" i="1"/>
  <c r="BF163" i="1"/>
  <c r="BB163" i="1"/>
  <c r="AE163" i="1"/>
  <c r="U163" i="1"/>
  <c r="P163" i="1"/>
  <c r="O162" i="1"/>
  <c r="L162" i="1"/>
  <c r="K162" i="1"/>
  <c r="CO162" i="1"/>
  <c r="CM162" i="1"/>
  <c r="CI162" i="1"/>
  <c r="CF162" i="1"/>
  <c r="CC162" i="1"/>
  <c r="BY162" i="1"/>
  <c r="BX162" i="1"/>
  <c r="BW162" i="1"/>
  <c r="BV162" i="1"/>
  <c r="BU162" i="1"/>
  <c r="BT162" i="1"/>
  <c r="BS162" i="1"/>
  <c r="BR162" i="1"/>
  <c r="BQ162" i="1"/>
  <c r="BP162" i="1"/>
  <c r="BO162" i="1"/>
  <c r="BL162" i="1"/>
  <c r="BI162" i="1"/>
  <c r="BH162" i="1"/>
  <c r="BG162" i="1"/>
  <c r="BE162" i="1"/>
  <c r="BD162" i="1"/>
  <c r="BC162" i="1"/>
  <c r="AZ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H162" i="1"/>
  <c r="AG162" i="1"/>
  <c r="AF162" i="1"/>
  <c r="AD162" i="1"/>
  <c r="AC162" i="1"/>
  <c r="AB162" i="1"/>
  <c r="AA162" i="1"/>
  <c r="Z162" i="1"/>
  <c r="Y162" i="1"/>
  <c r="X162" i="1"/>
  <c r="W162" i="1"/>
  <c r="V162" i="1"/>
  <c r="T162" i="1"/>
  <c r="S162" i="1"/>
  <c r="R162" i="1"/>
  <c r="Q162" i="1"/>
  <c r="N162" i="1"/>
  <c r="M162" i="1"/>
  <c r="H162" i="1"/>
  <c r="G162" i="1"/>
  <c r="CB158" i="1"/>
  <c r="BN158" i="1"/>
  <c r="BK158" i="1"/>
  <c r="BF158" i="1"/>
  <c r="BB158" i="1"/>
  <c r="P158" i="1"/>
  <c r="CK157" i="1"/>
  <c r="CB157" i="1"/>
  <c r="BN157" i="1"/>
  <c r="BK157" i="1"/>
  <c r="BF157" i="1"/>
  <c r="BB157" i="1"/>
  <c r="AE157" i="1"/>
  <c r="U157" i="1"/>
  <c r="P157" i="1"/>
  <c r="I157" i="1"/>
  <c r="CO156" i="1"/>
  <c r="CM156" i="1"/>
  <c r="CI156" i="1"/>
  <c r="CF156" i="1"/>
  <c r="CC156" i="1"/>
  <c r="BY156" i="1"/>
  <c r="BX156" i="1"/>
  <c r="BW156" i="1"/>
  <c r="BV156" i="1"/>
  <c r="BU156" i="1"/>
  <c r="BT156" i="1"/>
  <c r="BS156" i="1"/>
  <c r="BR156" i="1"/>
  <c r="BQ156" i="1"/>
  <c r="BP156" i="1"/>
  <c r="BO156" i="1"/>
  <c r="BL156" i="1"/>
  <c r="BI156" i="1"/>
  <c r="BH156" i="1"/>
  <c r="BG156" i="1"/>
  <c r="BE156" i="1"/>
  <c r="BD156" i="1"/>
  <c r="BC156" i="1"/>
  <c r="AZ156" i="1"/>
  <c r="AX156" i="1"/>
  <c r="AW156" i="1"/>
  <c r="AV156" i="1"/>
  <c r="AS156" i="1"/>
  <c r="AR156" i="1"/>
  <c r="AQ156" i="1"/>
  <c r="AP156" i="1"/>
  <c r="AO156" i="1"/>
  <c r="AM156" i="1"/>
  <c r="AL156" i="1"/>
  <c r="AK156" i="1"/>
  <c r="AJ156" i="1"/>
  <c r="AG156" i="1"/>
  <c r="AF156" i="1"/>
  <c r="AD156" i="1"/>
  <c r="AC156" i="1"/>
  <c r="AB156" i="1"/>
  <c r="AA156" i="1"/>
  <c r="Z156" i="1"/>
  <c r="Y156" i="1"/>
  <c r="X156" i="1"/>
  <c r="W156" i="1"/>
  <c r="V156" i="1"/>
  <c r="S156" i="1"/>
  <c r="R156" i="1"/>
  <c r="Q156" i="1"/>
  <c r="M156" i="1"/>
  <c r="L156" i="1"/>
  <c r="K156" i="1"/>
  <c r="J156" i="1"/>
  <c r="CK155" i="1"/>
  <c r="CB155" i="1"/>
  <c r="BN155" i="1"/>
  <c r="BK155" i="1"/>
  <c r="BF155" i="1"/>
  <c r="BB155" i="1"/>
  <c r="U155" i="1"/>
  <c r="P155" i="1"/>
  <c r="I155" i="1"/>
  <c r="CO153" i="1"/>
  <c r="CM153" i="1"/>
  <c r="CI153" i="1"/>
  <c r="CF153" i="1"/>
  <c r="CC153" i="1"/>
  <c r="BY153" i="1"/>
  <c r="BX153" i="1"/>
  <c r="BW153" i="1"/>
  <c r="BV153" i="1"/>
  <c r="BU153" i="1"/>
  <c r="BT153" i="1"/>
  <c r="BS153" i="1"/>
  <c r="BR153" i="1"/>
  <c r="BQ153" i="1"/>
  <c r="BP153" i="1"/>
  <c r="BO153" i="1"/>
  <c r="BL153" i="1"/>
  <c r="BI153" i="1"/>
  <c r="BH153" i="1"/>
  <c r="BG153" i="1"/>
  <c r="BE153" i="1"/>
  <c r="BD153" i="1"/>
  <c r="BC153" i="1"/>
  <c r="AX153" i="1"/>
  <c r="AW153" i="1"/>
  <c r="AV153" i="1"/>
  <c r="AS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D153" i="1"/>
  <c r="AC153" i="1"/>
  <c r="AB153" i="1"/>
  <c r="AA153" i="1"/>
  <c r="Z153" i="1"/>
  <c r="Y153" i="1"/>
  <c r="W153" i="1"/>
  <c r="V153" i="1"/>
  <c r="S153" i="1"/>
  <c r="Q153" i="1"/>
  <c r="M153" i="1"/>
  <c r="L153" i="1"/>
  <c r="K153" i="1"/>
  <c r="J153" i="1"/>
  <c r="CK151" i="1"/>
  <c r="CB151" i="1"/>
  <c r="BN151" i="1"/>
  <c r="BK151" i="1"/>
  <c r="BF151" i="1"/>
  <c r="BB151" i="1"/>
  <c r="AE151" i="1"/>
  <c r="U151" i="1"/>
  <c r="P151" i="1"/>
  <c r="I151" i="1"/>
  <c r="CK150" i="1"/>
  <c r="CB150" i="1"/>
  <c r="BN150" i="1"/>
  <c r="BK150" i="1"/>
  <c r="BF150" i="1"/>
  <c r="BB150" i="1"/>
  <c r="AE150" i="1"/>
  <c r="U150" i="1"/>
  <c r="P150" i="1"/>
  <c r="I150" i="1"/>
  <c r="CK149" i="1"/>
  <c r="CB149" i="1"/>
  <c r="BN149" i="1"/>
  <c r="BK149" i="1"/>
  <c r="BF149" i="1"/>
  <c r="BB149" i="1"/>
  <c r="AE149" i="1"/>
  <c r="U149" i="1"/>
  <c r="P149" i="1"/>
  <c r="I149" i="1"/>
  <c r="CK148" i="1"/>
  <c r="CB148" i="1"/>
  <c r="BN148" i="1"/>
  <c r="BK148" i="1"/>
  <c r="BF148" i="1"/>
  <c r="BB148" i="1"/>
  <c r="AE148" i="1"/>
  <c r="U148" i="1"/>
  <c r="P148" i="1"/>
  <c r="I148" i="1"/>
  <c r="CK147" i="1"/>
  <c r="BN147" i="1"/>
  <c r="BK147" i="1"/>
  <c r="BF147" i="1"/>
  <c r="BB147" i="1"/>
  <c r="U147" i="1"/>
  <c r="P147" i="1"/>
  <c r="CO146" i="1"/>
  <c r="CM146" i="1"/>
  <c r="CI146" i="1"/>
  <c r="CF146" i="1"/>
  <c r="CC146" i="1"/>
  <c r="BY146" i="1"/>
  <c r="BX146" i="1"/>
  <c r="BW146" i="1"/>
  <c r="BV146" i="1"/>
  <c r="BU146" i="1"/>
  <c r="BT146" i="1"/>
  <c r="BS146" i="1"/>
  <c r="BR146" i="1"/>
  <c r="BQ146" i="1"/>
  <c r="BP146" i="1"/>
  <c r="BO146" i="1"/>
  <c r="BL146" i="1"/>
  <c r="BI146" i="1"/>
  <c r="BH146" i="1"/>
  <c r="BG146" i="1"/>
  <c r="BE146" i="1"/>
  <c r="BD146" i="1"/>
  <c r="BC146" i="1"/>
  <c r="AX146" i="1"/>
  <c r="AW146" i="1"/>
  <c r="AV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D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M146" i="1"/>
  <c r="L146" i="1"/>
  <c r="K146" i="1"/>
  <c r="G146" i="1"/>
  <c r="CK145" i="1"/>
  <c r="CB145" i="1"/>
  <c r="BN145" i="1"/>
  <c r="BK145" i="1"/>
  <c r="BF145" i="1"/>
  <c r="BB145" i="1"/>
  <c r="AE145" i="1"/>
  <c r="U145" i="1"/>
  <c r="P145" i="1"/>
  <c r="I145" i="1"/>
  <c r="CK144" i="1"/>
  <c r="CB144" i="1"/>
  <c r="BN144" i="1"/>
  <c r="BK144" i="1"/>
  <c r="BF144" i="1"/>
  <c r="BB144" i="1"/>
  <c r="AE144" i="1"/>
  <c r="U144" i="1"/>
  <c r="P144" i="1"/>
  <c r="I144" i="1"/>
  <c r="CO143" i="1"/>
  <c r="CM143" i="1"/>
  <c r="CI143" i="1"/>
  <c r="CF143" i="1"/>
  <c r="CD143" i="1"/>
  <c r="CC143" i="1"/>
  <c r="BY143" i="1"/>
  <c r="BX143" i="1"/>
  <c r="BW143" i="1"/>
  <c r="BV143" i="1"/>
  <c r="BU143" i="1"/>
  <c r="BT143" i="1"/>
  <c r="BS143" i="1"/>
  <c r="BR143" i="1"/>
  <c r="BQ143" i="1"/>
  <c r="BP143" i="1"/>
  <c r="BO143" i="1"/>
  <c r="BL143" i="1"/>
  <c r="BI143" i="1"/>
  <c r="BH143" i="1"/>
  <c r="BG143" i="1"/>
  <c r="BE143" i="1"/>
  <c r="BD143" i="1"/>
  <c r="BC143" i="1"/>
  <c r="AZ143" i="1"/>
  <c r="AX143" i="1"/>
  <c r="AW143" i="1"/>
  <c r="AV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D143" i="1"/>
  <c r="AC143" i="1"/>
  <c r="AB143" i="1"/>
  <c r="AA143" i="1"/>
  <c r="Z143" i="1"/>
  <c r="Y143" i="1"/>
  <c r="X143" i="1"/>
  <c r="W143" i="1"/>
  <c r="V143" i="1"/>
  <c r="T143" i="1"/>
  <c r="S143" i="1"/>
  <c r="R143" i="1"/>
  <c r="Q143" i="1"/>
  <c r="O143" i="1"/>
  <c r="N143" i="1"/>
  <c r="M143" i="1"/>
  <c r="L143" i="1"/>
  <c r="K143" i="1"/>
  <c r="J143" i="1"/>
  <c r="H143" i="1"/>
  <c r="G143" i="1"/>
  <c r="CK142" i="1"/>
  <c r="CB142" i="1"/>
  <c r="BN142" i="1"/>
  <c r="BK142" i="1"/>
  <c r="BF142" i="1"/>
  <c r="BB142" i="1"/>
  <c r="AE142" i="1"/>
  <c r="U142" i="1"/>
  <c r="P142" i="1"/>
  <c r="I142" i="1"/>
  <c r="CK141" i="1"/>
  <c r="CB141" i="1"/>
  <c r="BN141" i="1"/>
  <c r="BK141" i="1"/>
  <c r="BF141" i="1"/>
  <c r="BB141" i="1"/>
  <c r="AE141" i="1"/>
  <c r="U141" i="1"/>
  <c r="P141" i="1"/>
  <c r="I141" i="1"/>
  <c r="CK140" i="1"/>
  <c r="CB140" i="1"/>
  <c r="BN140" i="1"/>
  <c r="BK140" i="1"/>
  <c r="BF140" i="1"/>
  <c r="BB140" i="1"/>
  <c r="AE140" i="1"/>
  <c r="U140" i="1"/>
  <c r="P140" i="1"/>
  <c r="I140" i="1"/>
  <c r="CO139" i="1"/>
  <c r="CM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D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CK137" i="1"/>
  <c r="CB137" i="1"/>
  <c r="BN137" i="1"/>
  <c r="BK137" i="1"/>
  <c r="BF137" i="1"/>
  <c r="BB137" i="1"/>
  <c r="AE137" i="1"/>
  <c r="U137" i="1"/>
  <c r="P137" i="1"/>
  <c r="I137" i="1"/>
  <c r="CK136" i="1"/>
  <c r="CB136" i="1"/>
  <c r="BN136" i="1"/>
  <c r="BK136" i="1"/>
  <c r="BF136" i="1"/>
  <c r="BB136" i="1"/>
  <c r="AE136" i="1"/>
  <c r="U136" i="1"/>
  <c r="P136" i="1"/>
  <c r="I136" i="1"/>
  <c r="CK135" i="1"/>
  <c r="CB135" i="1"/>
  <c r="BN135" i="1"/>
  <c r="BK135" i="1"/>
  <c r="BF135" i="1"/>
  <c r="BB135" i="1"/>
  <c r="AE135" i="1"/>
  <c r="U135" i="1"/>
  <c r="P135" i="1"/>
  <c r="I135" i="1"/>
  <c r="CO134" i="1"/>
  <c r="CM134" i="1"/>
  <c r="CI134" i="1"/>
  <c r="CF134" i="1"/>
  <c r="CD134" i="1"/>
  <c r="CC134" i="1"/>
  <c r="BY134" i="1"/>
  <c r="BX134" i="1"/>
  <c r="BW134" i="1"/>
  <c r="BV134" i="1"/>
  <c r="BU134" i="1"/>
  <c r="BT134" i="1"/>
  <c r="BS134" i="1"/>
  <c r="BR134" i="1"/>
  <c r="BQ134" i="1"/>
  <c r="BP134" i="1"/>
  <c r="BO134" i="1"/>
  <c r="BL134" i="1"/>
  <c r="BI134" i="1"/>
  <c r="BH134" i="1"/>
  <c r="BG134" i="1"/>
  <c r="BE134" i="1"/>
  <c r="BD134" i="1"/>
  <c r="BC134" i="1"/>
  <c r="AZ134" i="1"/>
  <c r="AX134" i="1"/>
  <c r="AW134" i="1"/>
  <c r="AV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D134" i="1"/>
  <c r="AC134" i="1"/>
  <c r="AB134" i="1"/>
  <c r="AA134" i="1"/>
  <c r="Z134" i="1"/>
  <c r="Y134" i="1"/>
  <c r="X134" i="1"/>
  <c r="W134" i="1"/>
  <c r="V134" i="1"/>
  <c r="T134" i="1"/>
  <c r="S134" i="1"/>
  <c r="R134" i="1"/>
  <c r="Q134" i="1"/>
  <c r="O134" i="1"/>
  <c r="N134" i="1"/>
  <c r="M134" i="1"/>
  <c r="L134" i="1"/>
  <c r="K134" i="1"/>
  <c r="J134" i="1"/>
  <c r="H134" i="1"/>
  <c r="G134" i="1"/>
  <c r="CK133" i="1"/>
  <c r="CB133" i="1"/>
  <c r="BN133" i="1"/>
  <c r="BK133" i="1"/>
  <c r="BF133" i="1"/>
  <c r="BB133" i="1"/>
  <c r="AE133" i="1"/>
  <c r="U133" i="1"/>
  <c r="P133" i="1"/>
  <c r="I133" i="1"/>
  <c r="CO132" i="1"/>
  <c r="CM132" i="1"/>
  <c r="CI132" i="1"/>
  <c r="CF132" i="1"/>
  <c r="CD132" i="1"/>
  <c r="CC132" i="1"/>
  <c r="BY132" i="1"/>
  <c r="BX132" i="1"/>
  <c r="BW132" i="1"/>
  <c r="BV132" i="1"/>
  <c r="BU132" i="1"/>
  <c r="BT132" i="1"/>
  <c r="BS132" i="1"/>
  <c r="BR132" i="1"/>
  <c r="BQ132" i="1"/>
  <c r="BP132" i="1"/>
  <c r="BO132" i="1"/>
  <c r="BL132" i="1"/>
  <c r="BI132" i="1"/>
  <c r="BH132" i="1"/>
  <c r="BG132" i="1"/>
  <c r="BE132" i="1"/>
  <c r="BD132" i="1"/>
  <c r="BC132" i="1"/>
  <c r="AZ132" i="1"/>
  <c r="AX132" i="1"/>
  <c r="AW132" i="1"/>
  <c r="AV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K132" i="1"/>
  <c r="J132" i="1"/>
  <c r="G132" i="1"/>
  <c r="CK131" i="1"/>
  <c r="CB131" i="1"/>
  <c r="BN131" i="1"/>
  <c r="BK131" i="1"/>
  <c r="BF131" i="1"/>
  <c r="BB131" i="1"/>
  <c r="AE131" i="1"/>
  <c r="U131" i="1"/>
  <c r="P131" i="1"/>
  <c r="I131" i="1"/>
  <c r="CO130" i="1"/>
  <c r="CM130" i="1"/>
  <c r="CI130" i="1"/>
  <c r="CF130" i="1"/>
  <c r="CD130" i="1"/>
  <c r="CC130" i="1"/>
  <c r="BY130" i="1"/>
  <c r="BX130" i="1"/>
  <c r="BW130" i="1"/>
  <c r="BV130" i="1"/>
  <c r="BU130" i="1"/>
  <c r="BT130" i="1"/>
  <c r="BS130" i="1"/>
  <c r="BR130" i="1"/>
  <c r="BQ130" i="1"/>
  <c r="BP130" i="1"/>
  <c r="BO130" i="1"/>
  <c r="BL130" i="1"/>
  <c r="BI130" i="1"/>
  <c r="BH130" i="1"/>
  <c r="BG130" i="1"/>
  <c r="BE130" i="1"/>
  <c r="BD130" i="1"/>
  <c r="BC130" i="1"/>
  <c r="AZ130" i="1"/>
  <c r="AX130" i="1"/>
  <c r="AW130" i="1"/>
  <c r="AV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D130" i="1"/>
  <c r="AC130" i="1"/>
  <c r="AB130" i="1"/>
  <c r="AA130" i="1"/>
  <c r="Z130" i="1"/>
  <c r="Y130" i="1"/>
  <c r="X130" i="1"/>
  <c r="W130" i="1"/>
  <c r="V130" i="1"/>
  <c r="T130" i="1"/>
  <c r="S130" i="1"/>
  <c r="R130" i="1"/>
  <c r="Q130" i="1"/>
  <c r="O130" i="1"/>
  <c r="N130" i="1"/>
  <c r="M130" i="1"/>
  <c r="L130" i="1"/>
  <c r="K130" i="1"/>
  <c r="J130" i="1"/>
  <c r="CK129" i="1"/>
  <c r="CB129" i="1"/>
  <c r="BN129" i="1"/>
  <c r="BK129" i="1"/>
  <c r="BF129" i="1"/>
  <c r="BB129" i="1"/>
  <c r="U129" i="1"/>
  <c r="P129" i="1"/>
  <c r="I129" i="1"/>
  <c r="H126" i="1"/>
  <c r="G126" i="1"/>
  <c r="CK128" i="1"/>
  <c r="CB128" i="1"/>
  <c r="BN128" i="1"/>
  <c r="BK128" i="1"/>
  <c r="BF128" i="1"/>
  <c r="BB128" i="1"/>
  <c r="AE128" i="1"/>
  <c r="U128" i="1"/>
  <c r="P128" i="1"/>
  <c r="I128" i="1"/>
  <c r="CK127" i="1"/>
  <c r="CB127" i="1"/>
  <c r="BN127" i="1"/>
  <c r="BK127" i="1"/>
  <c r="BF127" i="1"/>
  <c r="BB127" i="1"/>
  <c r="AE127" i="1"/>
  <c r="U127" i="1"/>
  <c r="P127" i="1"/>
  <c r="I127" i="1"/>
  <c r="CO126" i="1"/>
  <c r="CM126" i="1"/>
  <c r="CI126" i="1"/>
  <c r="CF126" i="1"/>
  <c r="CC126" i="1"/>
  <c r="BY126" i="1"/>
  <c r="BX126" i="1"/>
  <c r="BW126" i="1"/>
  <c r="BV126" i="1"/>
  <c r="BU126" i="1"/>
  <c r="BT126" i="1"/>
  <c r="BS126" i="1"/>
  <c r="BR126" i="1"/>
  <c r="BQ126" i="1"/>
  <c r="BP126" i="1"/>
  <c r="BO126" i="1"/>
  <c r="BL126" i="1"/>
  <c r="BI126" i="1"/>
  <c r="BH126" i="1"/>
  <c r="BG126" i="1"/>
  <c r="BE126" i="1"/>
  <c r="BD126" i="1"/>
  <c r="BC126" i="1"/>
  <c r="AZ126" i="1"/>
  <c r="AX126" i="1"/>
  <c r="AW126" i="1"/>
  <c r="AV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D126" i="1"/>
  <c r="AC126" i="1"/>
  <c r="AB126" i="1"/>
  <c r="AA126" i="1"/>
  <c r="Z126" i="1"/>
  <c r="Y126" i="1"/>
  <c r="X126" i="1"/>
  <c r="W126" i="1"/>
  <c r="V126" i="1"/>
  <c r="T126" i="1"/>
  <c r="S126" i="1"/>
  <c r="R126" i="1"/>
  <c r="Q126" i="1"/>
  <c r="O126" i="1"/>
  <c r="N126" i="1"/>
  <c r="M126" i="1"/>
  <c r="L126" i="1"/>
  <c r="K126" i="1"/>
  <c r="J126" i="1"/>
  <c r="CK125" i="1"/>
  <c r="CB125" i="1"/>
  <c r="BN125" i="1"/>
  <c r="BK125" i="1"/>
  <c r="BF125" i="1"/>
  <c r="BB125" i="1"/>
  <c r="AE125" i="1"/>
  <c r="U125" i="1"/>
  <c r="P125" i="1"/>
  <c r="I125" i="1"/>
  <c r="CK124" i="1"/>
  <c r="BN124" i="1"/>
  <c r="BK124" i="1"/>
  <c r="BF124" i="1"/>
  <c r="BB124" i="1"/>
  <c r="U124" i="1"/>
  <c r="P124" i="1"/>
  <c r="I124" i="1"/>
  <c r="CK123" i="1"/>
  <c r="CB123" i="1"/>
  <c r="BN123" i="1"/>
  <c r="BK123" i="1"/>
  <c r="BF123" i="1"/>
  <c r="BB123" i="1"/>
  <c r="AE123" i="1"/>
  <c r="U123" i="1"/>
  <c r="P123" i="1"/>
  <c r="I123" i="1"/>
  <c r="CO122" i="1"/>
  <c r="CM122" i="1"/>
  <c r="CI122" i="1"/>
  <c r="CF122" i="1"/>
  <c r="CC122" i="1"/>
  <c r="BY122" i="1"/>
  <c r="BX122" i="1"/>
  <c r="BW122" i="1"/>
  <c r="BV122" i="1"/>
  <c r="BU122" i="1"/>
  <c r="BT122" i="1"/>
  <c r="BS122" i="1"/>
  <c r="BR122" i="1"/>
  <c r="BQ122" i="1"/>
  <c r="BP122" i="1"/>
  <c r="BO122" i="1"/>
  <c r="BL122" i="1"/>
  <c r="BI122" i="1"/>
  <c r="BH122" i="1"/>
  <c r="BG122" i="1"/>
  <c r="BE122" i="1"/>
  <c r="BD122" i="1"/>
  <c r="BC122" i="1"/>
  <c r="AZ122" i="1"/>
  <c r="AX122" i="1"/>
  <c r="AW122" i="1"/>
  <c r="AV122" i="1"/>
  <c r="AS122" i="1"/>
  <c r="AR122" i="1"/>
  <c r="AQ122" i="1"/>
  <c r="AP122" i="1"/>
  <c r="AO122" i="1"/>
  <c r="AN122" i="1"/>
  <c r="AL122" i="1"/>
  <c r="AH122" i="1"/>
  <c r="AG122" i="1"/>
  <c r="AF122" i="1"/>
  <c r="AD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N122" i="1"/>
  <c r="M122" i="1"/>
  <c r="L122" i="1"/>
  <c r="K122" i="1"/>
  <c r="J122" i="1"/>
  <c r="H122" i="1"/>
  <c r="CK121" i="1"/>
  <c r="CB121" i="1"/>
  <c r="BN121" i="1"/>
  <c r="BK121" i="1"/>
  <c r="BF121" i="1"/>
  <c r="BB121" i="1"/>
  <c r="AE121" i="1"/>
  <c r="U121" i="1"/>
  <c r="P121" i="1"/>
  <c r="I121" i="1"/>
  <c r="CK120" i="1"/>
  <c r="CB120" i="1"/>
  <c r="BN120" i="1"/>
  <c r="BK120" i="1"/>
  <c r="BF120" i="1"/>
  <c r="BB120" i="1"/>
  <c r="AE120" i="1"/>
  <c r="U120" i="1"/>
  <c r="P120" i="1"/>
  <c r="I120" i="1"/>
  <c r="CK119" i="1"/>
  <c r="CB119" i="1"/>
  <c r="BN119" i="1"/>
  <c r="BK119" i="1"/>
  <c r="BF119" i="1"/>
  <c r="BB119" i="1"/>
  <c r="AE119" i="1"/>
  <c r="U119" i="1"/>
  <c r="P119" i="1"/>
  <c r="I119" i="1"/>
  <c r="CO118" i="1"/>
  <c r="CM118" i="1"/>
  <c r="CI118" i="1"/>
  <c r="CF118" i="1"/>
  <c r="CD118" i="1"/>
  <c r="CC118" i="1"/>
  <c r="BY118" i="1"/>
  <c r="BX118" i="1"/>
  <c r="BW118" i="1"/>
  <c r="BV118" i="1"/>
  <c r="BU118" i="1"/>
  <c r="BT118" i="1"/>
  <c r="BS118" i="1"/>
  <c r="BR118" i="1"/>
  <c r="BQ118" i="1"/>
  <c r="BP118" i="1"/>
  <c r="BO118" i="1"/>
  <c r="BL118" i="1"/>
  <c r="BI118" i="1"/>
  <c r="BH118" i="1"/>
  <c r="BG118" i="1"/>
  <c r="BE118" i="1"/>
  <c r="BD118" i="1"/>
  <c r="BC118" i="1"/>
  <c r="AZ118" i="1"/>
  <c r="AX118" i="1"/>
  <c r="AW118" i="1"/>
  <c r="AV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CK116" i="1"/>
  <c r="CB116" i="1"/>
  <c r="BN116" i="1"/>
  <c r="BK116" i="1"/>
  <c r="BF116" i="1"/>
  <c r="BB116" i="1"/>
  <c r="U116" i="1"/>
  <c r="P116" i="1"/>
  <c r="I116" i="1"/>
  <c r="CK108" i="1"/>
  <c r="CB108" i="1"/>
  <c r="BN108" i="1"/>
  <c r="BF108" i="1"/>
  <c r="BB108" i="1"/>
  <c r="AE108" i="1"/>
  <c r="U108" i="1"/>
  <c r="P108" i="1"/>
  <c r="I108" i="1"/>
  <c r="CK105" i="1"/>
  <c r="CB105" i="1"/>
  <c r="BN105" i="1"/>
  <c r="BK105" i="1"/>
  <c r="BF105" i="1"/>
  <c r="BB105" i="1"/>
  <c r="AE105" i="1"/>
  <c r="U105" i="1"/>
  <c r="P105" i="1"/>
  <c r="I105" i="1"/>
  <c r="CO104" i="1"/>
  <c r="CM104" i="1"/>
  <c r="CI104" i="1"/>
  <c r="CF104" i="1"/>
  <c r="CD104" i="1"/>
  <c r="CC104" i="1"/>
  <c r="BY104" i="1"/>
  <c r="BX104" i="1"/>
  <c r="BW104" i="1"/>
  <c r="BV104" i="1"/>
  <c r="BU104" i="1"/>
  <c r="BT104" i="1"/>
  <c r="BS104" i="1"/>
  <c r="BR104" i="1"/>
  <c r="BQ104" i="1"/>
  <c r="BP104" i="1"/>
  <c r="BO104" i="1"/>
  <c r="BL104" i="1"/>
  <c r="BI104" i="1"/>
  <c r="BH104" i="1"/>
  <c r="BG104" i="1"/>
  <c r="BE104" i="1"/>
  <c r="BD104" i="1"/>
  <c r="BC104" i="1"/>
  <c r="AZ104" i="1"/>
  <c r="AX104" i="1"/>
  <c r="AW104" i="1"/>
  <c r="AV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D104" i="1"/>
  <c r="AC104" i="1"/>
  <c r="AB104" i="1"/>
  <c r="AA104" i="1"/>
  <c r="Z104" i="1"/>
  <c r="Y104" i="1"/>
  <c r="X104" i="1"/>
  <c r="W104" i="1"/>
  <c r="V104" i="1"/>
  <c r="T104" i="1"/>
  <c r="S104" i="1"/>
  <c r="R104" i="1"/>
  <c r="Q104" i="1"/>
  <c r="O104" i="1"/>
  <c r="N104" i="1"/>
  <c r="M104" i="1"/>
  <c r="L104" i="1"/>
  <c r="K104" i="1"/>
  <c r="J104" i="1"/>
  <c r="G104" i="1"/>
  <c r="CK98" i="1"/>
  <c r="CB98" i="1"/>
  <c r="BN98" i="1"/>
  <c r="BK98" i="1"/>
  <c r="BF98" i="1"/>
  <c r="BB98" i="1"/>
  <c r="AE98" i="1"/>
  <c r="U98" i="1"/>
  <c r="P98" i="1"/>
  <c r="I98" i="1"/>
  <c r="CO97" i="1"/>
  <c r="CM97" i="1"/>
  <c r="CI97" i="1"/>
  <c r="CF97" i="1"/>
  <c r="CD97" i="1"/>
  <c r="CC97" i="1"/>
  <c r="BY97" i="1"/>
  <c r="BX97" i="1"/>
  <c r="BW97" i="1"/>
  <c r="BV97" i="1"/>
  <c r="BU97" i="1"/>
  <c r="BT97" i="1"/>
  <c r="BS97" i="1"/>
  <c r="BR97" i="1"/>
  <c r="BQ97" i="1"/>
  <c r="BP97" i="1"/>
  <c r="BO97" i="1"/>
  <c r="BL97" i="1"/>
  <c r="BI97" i="1"/>
  <c r="BH97" i="1"/>
  <c r="BG97" i="1"/>
  <c r="BE97" i="1"/>
  <c r="BD97" i="1"/>
  <c r="BC97" i="1"/>
  <c r="AZ97" i="1"/>
  <c r="AX97" i="1"/>
  <c r="AW97" i="1"/>
  <c r="AV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D97" i="1"/>
  <c r="AC97" i="1"/>
  <c r="AB97" i="1"/>
  <c r="AA97" i="1"/>
  <c r="Z97" i="1"/>
  <c r="Y97" i="1"/>
  <c r="X97" i="1"/>
  <c r="W97" i="1"/>
  <c r="V97" i="1"/>
  <c r="T97" i="1"/>
  <c r="S97" i="1"/>
  <c r="R97" i="1"/>
  <c r="Q97" i="1"/>
  <c r="O97" i="1"/>
  <c r="N97" i="1"/>
  <c r="M97" i="1"/>
  <c r="L97" i="1"/>
  <c r="K97" i="1"/>
  <c r="J97" i="1"/>
  <c r="CK95" i="1"/>
  <c r="CB95" i="1"/>
  <c r="BN95" i="1"/>
  <c r="BK95" i="1"/>
  <c r="BF95" i="1"/>
  <c r="BB95" i="1"/>
  <c r="AE95" i="1"/>
  <c r="U95" i="1"/>
  <c r="P95" i="1"/>
  <c r="I95" i="1"/>
  <c r="CO94" i="1"/>
  <c r="CM94" i="1"/>
  <c r="CI94" i="1"/>
  <c r="CF94" i="1"/>
  <c r="CD94" i="1"/>
  <c r="CC94" i="1"/>
  <c r="BY94" i="1"/>
  <c r="BX94" i="1"/>
  <c r="BW94" i="1"/>
  <c r="BV94" i="1"/>
  <c r="BU94" i="1"/>
  <c r="BT94" i="1"/>
  <c r="BS94" i="1"/>
  <c r="BR94" i="1"/>
  <c r="BQ94" i="1"/>
  <c r="BP94" i="1"/>
  <c r="BO94" i="1"/>
  <c r="BL94" i="1"/>
  <c r="BI94" i="1"/>
  <c r="BH94" i="1"/>
  <c r="BG94" i="1"/>
  <c r="BE94" i="1"/>
  <c r="BD94" i="1"/>
  <c r="BC94" i="1"/>
  <c r="AZ94" i="1"/>
  <c r="AX94" i="1"/>
  <c r="AW94" i="1"/>
  <c r="AV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D94" i="1"/>
  <c r="AC94" i="1"/>
  <c r="AB94" i="1"/>
  <c r="AA94" i="1"/>
  <c r="Z94" i="1"/>
  <c r="Y94" i="1"/>
  <c r="X94" i="1"/>
  <c r="W94" i="1"/>
  <c r="V94" i="1"/>
  <c r="T94" i="1"/>
  <c r="S94" i="1"/>
  <c r="R94" i="1"/>
  <c r="Q94" i="1"/>
  <c r="O94" i="1"/>
  <c r="N94" i="1"/>
  <c r="M94" i="1"/>
  <c r="L94" i="1"/>
  <c r="K94" i="1"/>
  <c r="J94" i="1"/>
  <c r="H94" i="1"/>
  <c r="G94" i="1"/>
  <c r="CK91" i="1"/>
  <c r="CB91" i="1"/>
  <c r="BN91" i="1"/>
  <c r="BK91" i="1"/>
  <c r="BF91" i="1"/>
  <c r="BB91" i="1"/>
  <c r="AE91" i="1"/>
  <c r="U91" i="1"/>
  <c r="P91" i="1"/>
  <c r="I91" i="1"/>
  <c r="CK90" i="1"/>
  <c r="CB90" i="1"/>
  <c r="BN90" i="1"/>
  <c r="BK90" i="1"/>
  <c r="BF90" i="1"/>
  <c r="BB90" i="1"/>
  <c r="AE90" i="1"/>
  <c r="U90" i="1"/>
  <c r="P90" i="1"/>
  <c r="I90" i="1"/>
  <c r="CK88" i="1"/>
  <c r="CB88" i="1"/>
  <c r="BN88" i="1"/>
  <c r="BK88" i="1"/>
  <c r="BF88" i="1"/>
  <c r="BB88" i="1"/>
  <c r="AE88" i="1"/>
  <c r="U88" i="1"/>
  <c r="P88" i="1"/>
  <c r="I88" i="1"/>
  <c r="CK87" i="1"/>
  <c r="CB87" i="1"/>
  <c r="BN87" i="1"/>
  <c r="BK87" i="1"/>
  <c r="BF87" i="1"/>
  <c r="BB87" i="1"/>
  <c r="AE87" i="1"/>
  <c r="U87" i="1"/>
  <c r="P87" i="1"/>
  <c r="I87" i="1"/>
  <c r="CK86" i="1"/>
  <c r="CB86" i="1"/>
  <c r="BN86" i="1"/>
  <c r="BK86" i="1"/>
  <c r="BF86" i="1"/>
  <c r="BB86" i="1"/>
  <c r="AE86" i="1"/>
  <c r="U86" i="1"/>
  <c r="P86" i="1"/>
  <c r="I86" i="1"/>
  <c r="CK84" i="1"/>
  <c r="CB84" i="1"/>
  <c r="BN84" i="1"/>
  <c r="BK84" i="1"/>
  <c r="BF84" i="1"/>
  <c r="BB84" i="1"/>
  <c r="AE84" i="1"/>
  <c r="U84" i="1"/>
  <c r="P84" i="1"/>
  <c r="I84" i="1"/>
  <c r="CK83" i="1"/>
  <c r="CB83" i="1"/>
  <c r="BN83" i="1"/>
  <c r="BK83" i="1"/>
  <c r="BF83" i="1"/>
  <c r="BB83" i="1"/>
  <c r="AE83" i="1"/>
  <c r="U83" i="1"/>
  <c r="P83" i="1"/>
  <c r="I83" i="1"/>
  <c r="CO82" i="1"/>
  <c r="CM82" i="1"/>
  <c r="CI82" i="1"/>
  <c r="CF82" i="1"/>
  <c r="CD82" i="1"/>
  <c r="CC82" i="1"/>
  <c r="BY82" i="1"/>
  <c r="BX82" i="1"/>
  <c r="BW82" i="1"/>
  <c r="BV82" i="1"/>
  <c r="BU82" i="1"/>
  <c r="BT82" i="1"/>
  <c r="BS82" i="1"/>
  <c r="BR82" i="1"/>
  <c r="BQ82" i="1"/>
  <c r="BP82" i="1"/>
  <c r="BO82" i="1"/>
  <c r="BL82" i="1"/>
  <c r="BI82" i="1"/>
  <c r="BH82" i="1"/>
  <c r="BG82" i="1"/>
  <c r="BE82" i="1"/>
  <c r="BD82" i="1"/>
  <c r="BC82" i="1"/>
  <c r="AZ82" i="1"/>
  <c r="AX82" i="1"/>
  <c r="AW82" i="1"/>
  <c r="AV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O82" i="1"/>
  <c r="N82" i="1"/>
  <c r="M82" i="1"/>
  <c r="L82" i="1"/>
  <c r="K82" i="1"/>
  <c r="J82" i="1"/>
  <c r="G82" i="1"/>
  <c r="CK80" i="1"/>
  <c r="CB80" i="1"/>
  <c r="BN80" i="1"/>
  <c r="BK80" i="1"/>
  <c r="BF80" i="1"/>
  <c r="BB80" i="1"/>
  <c r="AE80" i="1"/>
  <c r="U80" i="1"/>
  <c r="P80" i="1"/>
  <c r="I80" i="1"/>
  <c r="CO79" i="1"/>
  <c r="CM79" i="1"/>
  <c r="CI79" i="1"/>
  <c r="CF79" i="1"/>
  <c r="CD79" i="1"/>
  <c r="CC79" i="1"/>
  <c r="BY79" i="1"/>
  <c r="BX79" i="1"/>
  <c r="BW79" i="1"/>
  <c r="BV79" i="1"/>
  <c r="BU79" i="1"/>
  <c r="BT79" i="1"/>
  <c r="BS79" i="1"/>
  <c r="BR79" i="1"/>
  <c r="BQ79" i="1"/>
  <c r="BP79" i="1"/>
  <c r="BO79" i="1"/>
  <c r="BL79" i="1"/>
  <c r="BI79" i="1"/>
  <c r="BH79" i="1"/>
  <c r="BG79" i="1"/>
  <c r="BE79" i="1"/>
  <c r="BD79" i="1"/>
  <c r="BC79" i="1"/>
  <c r="AZ79" i="1"/>
  <c r="AX79" i="1"/>
  <c r="AW79" i="1"/>
  <c r="AV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D79" i="1"/>
  <c r="AC79" i="1"/>
  <c r="AB79" i="1"/>
  <c r="AA79" i="1"/>
  <c r="Z79" i="1"/>
  <c r="Y79" i="1"/>
  <c r="X79" i="1"/>
  <c r="W79" i="1"/>
  <c r="V79" i="1"/>
  <c r="T79" i="1"/>
  <c r="S79" i="1"/>
  <c r="R79" i="1"/>
  <c r="Q79" i="1"/>
  <c r="CK78" i="1"/>
  <c r="CB78" i="1"/>
  <c r="BN78" i="1"/>
  <c r="BK78" i="1"/>
  <c r="BF78" i="1"/>
  <c r="BB78" i="1"/>
  <c r="AE78" i="1"/>
  <c r="U78" i="1"/>
  <c r="P78" i="1"/>
  <c r="I78" i="1"/>
  <c r="CO77" i="1"/>
  <c r="CM77" i="1"/>
  <c r="CI77" i="1"/>
  <c r="CF77" i="1"/>
  <c r="CD77" i="1"/>
  <c r="CC77" i="1"/>
  <c r="BY77" i="1"/>
  <c r="BX77" i="1"/>
  <c r="BW77" i="1"/>
  <c r="BV77" i="1"/>
  <c r="BU77" i="1"/>
  <c r="BT77" i="1"/>
  <c r="BS77" i="1"/>
  <c r="BR77" i="1"/>
  <c r="BQ77" i="1"/>
  <c r="BP77" i="1"/>
  <c r="BO77" i="1"/>
  <c r="BL77" i="1"/>
  <c r="BI77" i="1"/>
  <c r="BH77" i="1"/>
  <c r="BG77" i="1"/>
  <c r="BE77" i="1"/>
  <c r="BD77" i="1"/>
  <c r="BC77" i="1"/>
  <c r="AZ77" i="1"/>
  <c r="AX77" i="1"/>
  <c r="AW77" i="1"/>
  <c r="AV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D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G77" i="1"/>
  <c r="CK76" i="1"/>
  <c r="CB76" i="1"/>
  <c r="BN76" i="1"/>
  <c r="BK76" i="1"/>
  <c r="BF76" i="1"/>
  <c r="BB76" i="1"/>
  <c r="AE76" i="1"/>
  <c r="U76" i="1"/>
  <c r="P76" i="1"/>
  <c r="CO75" i="1"/>
  <c r="CM75" i="1"/>
  <c r="CI75" i="1"/>
  <c r="CF75" i="1"/>
  <c r="CD75" i="1"/>
  <c r="CC75" i="1"/>
  <c r="BY75" i="1"/>
  <c r="BX75" i="1"/>
  <c r="BW75" i="1"/>
  <c r="BV75" i="1"/>
  <c r="BU75" i="1"/>
  <c r="BT75" i="1"/>
  <c r="BS75" i="1"/>
  <c r="BR75" i="1"/>
  <c r="BQ75" i="1"/>
  <c r="BP75" i="1"/>
  <c r="BO75" i="1"/>
  <c r="BL75" i="1"/>
  <c r="BI75" i="1"/>
  <c r="BH75" i="1"/>
  <c r="BG75" i="1"/>
  <c r="BE75" i="1"/>
  <c r="BD75" i="1"/>
  <c r="BC75" i="1"/>
  <c r="AZ75" i="1"/>
  <c r="AX75" i="1"/>
  <c r="AW75" i="1"/>
  <c r="AV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D75" i="1"/>
  <c r="AC75" i="1"/>
  <c r="AB75" i="1"/>
  <c r="AA75" i="1"/>
  <c r="Z75" i="1"/>
  <c r="Y75" i="1"/>
  <c r="X75" i="1"/>
  <c r="W75" i="1"/>
  <c r="V75" i="1"/>
  <c r="T75" i="1"/>
  <c r="S75" i="1"/>
  <c r="R75" i="1"/>
  <c r="Q75" i="1"/>
  <c r="M75" i="1"/>
  <c r="L75" i="1"/>
  <c r="J75" i="1"/>
  <c r="CK74" i="1"/>
  <c r="BK74" i="1"/>
  <c r="BF74" i="1"/>
  <c r="BB74" i="1"/>
  <c r="AE74" i="1"/>
  <c r="U74" i="1"/>
  <c r="P74" i="1"/>
  <c r="I74" i="1"/>
  <c r="CO73" i="1"/>
  <c r="CM73" i="1"/>
  <c r="CI73" i="1"/>
  <c r="CF73" i="1"/>
  <c r="CC73" i="1"/>
  <c r="BY73" i="1"/>
  <c r="BX73" i="1"/>
  <c r="BW73" i="1"/>
  <c r="BV73" i="1"/>
  <c r="BU73" i="1"/>
  <c r="BT73" i="1"/>
  <c r="BS73" i="1"/>
  <c r="BR73" i="1"/>
  <c r="BQ73" i="1"/>
  <c r="BP73" i="1"/>
  <c r="BO73" i="1"/>
  <c r="BL73" i="1"/>
  <c r="BI73" i="1"/>
  <c r="BH73" i="1"/>
  <c r="BG73" i="1"/>
  <c r="BE73" i="1"/>
  <c r="BD73" i="1"/>
  <c r="BC73" i="1"/>
  <c r="AD73" i="1"/>
  <c r="AC73" i="1"/>
  <c r="AB73" i="1"/>
  <c r="AA73" i="1"/>
  <c r="Z73" i="1"/>
  <c r="Y73" i="1"/>
  <c r="X73" i="1"/>
  <c r="W73" i="1"/>
  <c r="V73" i="1"/>
  <c r="T73" i="1"/>
  <c r="S73" i="1"/>
  <c r="R73" i="1"/>
  <c r="Q73" i="1"/>
  <c r="O73" i="1"/>
  <c r="N73" i="1"/>
  <c r="M73" i="1"/>
  <c r="L73" i="1"/>
  <c r="K73" i="1"/>
  <c r="J73" i="1"/>
  <c r="H73" i="1"/>
  <c r="G73" i="1"/>
  <c r="CK72" i="1"/>
  <c r="CB72" i="1"/>
  <c r="BN72" i="1"/>
  <c r="BK72" i="1"/>
  <c r="BF72" i="1"/>
  <c r="BB72" i="1"/>
  <c r="AE72" i="1"/>
  <c r="U72" i="1"/>
  <c r="P72" i="1"/>
  <c r="I72" i="1"/>
  <c r="CO71" i="1"/>
  <c r="CM71" i="1"/>
  <c r="CI71" i="1"/>
  <c r="CF71" i="1"/>
  <c r="CD71" i="1"/>
  <c r="CC71" i="1"/>
  <c r="BY71" i="1"/>
  <c r="BX71" i="1"/>
  <c r="BW71" i="1"/>
  <c r="BV71" i="1"/>
  <c r="BU71" i="1"/>
  <c r="BT71" i="1"/>
  <c r="BS71" i="1"/>
  <c r="BR71" i="1"/>
  <c r="BQ71" i="1"/>
  <c r="BP71" i="1"/>
  <c r="BO71" i="1"/>
  <c r="BL71" i="1"/>
  <c r="BI71" i="1"/>
  <c r="BH71" i="1"/>
  <c r="BG71" i="1"/>
  <c r="BE71" i="1"/>
  <c r="BD71" i="1"/>
  <c r="BC71" i="1"/>
  <c r="AZ71" i="1"/>
  <c r="AX71" i="1"/>
  <c r="AW71" i="1"/>
  <c r="AV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T71" i="1"/>
  <c r="S71" i="1"/>
  <c r="R71" i="1"/>
  <c r="Q71" i="1"/>
  <c r="O71" i="1"/>
  <c r="N71" i="1"/>
  <c r="M71" i="1"/>
  <c r="L71" i="1"/>
  <c r="K71" i="1"/>
  <c r="J71" i="1"/>
  <c r="G71" i="1"/>
  <c r="CK70" i="1"/>
  <c r="CB70" i="1"/>
  <c r="BN70" i="1"/>
  <c r="BK70" i="1"/>
  <c r="BF70" i="1"/>
  <c r="BB70" i="1"/>
  <c r="AE70" i="1"/>
  <c r="U70" i="1"/>
  <c r="P70" i="1"/>
  <c r="I70" i="1"/>
  <c r="CO69" i="1"/>
  <c r="CM69" i="1"/>
  <c r="CI69" i="1"/>
  <c r="CF69" i="1"/>
  <c r="CD69" i="1"/>
  <c r="CC69" i="1"/>
  <c r="BY69" i="1"/>
  <c r="BX69" i="1"/>
  <c r="BW69" i="1"/>
  <c r="BV69" i="1"/>
  <c r="BU69" i="1"/>
  <c r="BT69" i="1"/>
  <c r="BS69" i="1"/>
  <c r="BR69" i="1"/>
  <c r="BQ69" i="1"/>
  <c r="BP69" i="1"/>
  <c r="BO69" i="1"/>
  <c r="BL69" i="1"/>
  <c r="BI69" i="1"/>
  <c r="BH69" i="1"/>
  <c r="BG69" i="1"/>
  <c r="BE69" i="1"/>
  <c r="BD69" i="1"/>
  <c r="BC69" i="1"/>
  <c r="AZ69" i="1"/>
  <c r="AX69" i="1"/>
  <c r="AW69" i="1"/>
  <c r="AV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T69" i="1"/>
  <c r="S69" i="1"/>
  <c r="R69" i="1"/>
  <c r="Q69" i="1"/>
  <c r="O69" i="1"/>
  <c r="N69" i="1"/>
  <c r="M69" i="1"/>
  <c r="L69" i="1"/>
  <c r="K69" i="1"/>
  <c r="J69" i="1"/>
  <c r="CK68" i="1"/>
  <c r="CB68" i="1"/>
  <c r="BN68" i="1"/>
  <c r="BK68" i="1"/>
  <c r="BF68" i="1"/>
  <c r="BB68" i="1"/>
  <c r="AE68" i="1"/>
  <c r="U68" i="1"/>
  <c r="P68" i="1"/>
  <c r="I68" i="1"/>
  <c r="CK67" i="1"/>
  <c r="CB67" i="1"/>
  <c r="BN67" i="1"/>
  <c r="BK67" i="1"/>
  <c r="BF67" i="1"/>
  <c r="BB67" i="1"/>
  <c r="AE67" i="1"/>
  <c r="U67" i="1"/>
  <c r="P67" i="1"/>
  <c r="I67" i="1"/>
  <c r="CO66" i="1"/>
  <c r="CM66" i="1"/>
  <c r="CI66" i="1"/>
  <c r="CF66" i="1"/>
  <c r="CD66" i="1"/>
  <c r="CC66" i="1"/>
  <c r="BY66" i="1"/>
  <c r="BX66" i="1"/>
  <c r="BW66" i="1"/>
  <c r="BV66" i="1"/>
  <c r="BU66" i="1"/>
  <c r="BT66" i="1"/>
  <c r="BS66" i="1"/>
  <c r="BR66" i="1"/>
  <c r="BQ66" i="1"/>
  <c r="BP66" i="1"/>
  <c r="BO66" i="1"/>
  <c r="BL66" i="1"/>
  <c r="BI66" i="1"/>
  <c r="BH66" i="1"/>
  <c r="BG66" i="1"/>
  <c r="BE66" i="1"/>
  <c r="BD66" i="1"/>
  <c r="BC66" i="1"/>
  <c r="AZ66" i="1"/>
  <c r="AX66" i="1"/>
  <c r="AW66" i="1"/>
  <c r="AV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O66" i="1"/>
  <c r="N66" i="1"/>
  <c r="M66" i="1"/>
  <c r="L66" i="1"/>
  <c r="K66" i="1"/>
  <c r="J66" i="1"/>
  <c r="G66" i="1"/>
  <c r="CK65" i="1"/>
  <c r="CB65" i="1"/>
  <c r="BN65" i="1"/>
  <c r="BK65" i="1"/>
  <c r="BF65" i="1"/>
  <c r="BB65" i="1"/>
  <c r="P65" i="1"/>
  <c r="I65" i="1"/>
  <c r="CO64" i="1"/>
  <c r="CM64" i="1"/>
  <c r="CI64" i="1"/>
  <c r="CF64" i="1"/>
  <c r="CD64" i="1"/>
  <c r="CC64" i="1"/>
  <c r="BY64" i="1"/>
  <c r="BX64" i="1"/>
  <c r="BW64" i="1"/>
  <c r="BV64" i="1"/>
  <c r="BU64" i="1"/>
  <c r="BT64" i="1"/>
  <c r="BS64" i="1"/>
  <c r="BR64" i="1"/>
  <c r="BQ64" i="1"/>
  <c r="BP64" i="1"/>
  <c r="BO64" i="1"/>
  <c r="BL64" i="1"/>
  <c r="BI64" i="1"/>
  <c r="BH64" i="1"/>
  <c r="BG64" i="1"/>
  <c r="BE64" i="1"/>
  <c r="BD64" i="1"/>
  <c r="BC64" i="1"/>
  <c r="AZ64" i="1"/>
  <c r="AX64" i="1"/>
  <c r="AW64" i="1"/>
  <c r="AV64" i="1"/>
  <c r="AS64" i="1"/>
  <c r="AR64" i="1"/>
  <c r="AP64" i="1"/>
  <c r="AO64" i="1"/>
  <c r="AN64" i="1"/>
  <c r="AM64" i="1"/>
  <c r="AL64" i="1"/>
  <c r="AK64" i="1"/>
  <c r="AJ64" i="1"/>
  <c r="AI64" i="1"/>
  <c r="AH64" i="1"/>
  <c r="AG64" i="1"/>
  <c r="AF64" i="1"/>
  <c r="AD64" i="1"/>
  <c r="AC64" i="1"/>
  <c r="AB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J64" i="1"/>
  <c r="G64" i="1"/>
  <c r="CK62" i="1"/>
  <c r="CB62" i="1"/>
  <c r="BN62" i="1"/>
  <c r="BK62" i="1"/>
  <c r="BF62" i="1"/>
  <c r="BB62" i="1"/>
  <c r="AE62" i="1"/>
  <c r="U62" i="1"/>
  <c r="P62" i="1"/>
  <c r="CO61" i="1"/>
  <c r="CM61" i="1"/>
  <c r="CI61" i="1"/>
  <c r="CF61" i="1"/>
  <c r="CD61" i="1"/>
  <c r="CC61" i="1"/>
  <c r="BY61" i="1"/>
  <c r="BX61" i="1"/>
  <c r="BW61" i="1"/>
  <c r="BV61" i="1"/>
  <c r="BU61" i="1"/>
  <c r="BT61" i="1"/>
  <c r="BS61" i="1"/>
  <c r="BR61" i="1"/>
  <c r="BQ61" i="1"/>
  <c r="BP61" i="1"/>
  <c r="BO61" i="1"/>
  <c r="BL61" i="1"/>
  <c r="BI61" i="1"/>
  <c r="BH61" i="1"/>
  <c r="BG61" i="1"/>
  <c r="BE61" i="1"/>
  <c r="BD61" i="1"/>
  <c r="BC61" i="1"/>
  <c r="AZ61" i="1"/>
  <c r="AX61" i="1"/>
  <c r="AW61" i="1"/>
  <c r="AV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O61" i="1"/>
  <c r="N61" i="1"/>
  <c r="M61" i="1"/>
  <c r="L61" i="1"/>
  <c r="K61" i="1"/>
  <c r="J61" i="1"/>
  <c r="CK60" i="1"/>
  <c r="CB60" i="1"/>
  <c r="BK60" i="1"/>
  <c r="BF60" i="1"/>
  <c r="BB60" i="1"/>
  <c r="AE60" i="1"/>
  <c r="U60" i="1"/>
  <c r="P60" i="1"/>
  <c r="CO59" i="1"/>
  <c r="CM59" i="1"/>
  <c r="CI59" i="1"/>
  <c r="CF59" i="1"/>
  <c r="CD59" i="1"/>
  <c r="CC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L59" i="1"/>
  <c r="BI59" i="1"/>
  <c r="BH59" i="1"/>
  <c r="BG59" i="1"/>
  <c r="BE59" i="1"/>
  <c r="BD59" i="1"/>
  <c r="BC59" i="1"/>
  <c r="AZ59" i="1"/>
  <c r="AX59" i="1"/>
  <c r="AW59" i="1"/>
  <c r="AV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D59" i="1"/>
  <c r="AC59" i="1"/>
  <c r="AB59" i="1"/>
  <c r="AA59" i="1"/>
  <c r="Z59" i="1"/>
  <c r="Y59" i="1"/>
  <c r="X59" i="1"/>
  <c r="W59" i="1"/>
  <c r="V59" i="1"/>
  <c r="T59" i="1"/>
  <c r="S59" i="1"/>
  <c r="R59" i="1"/>
  <c r="Q59" i="1"/>
  <c r="O59" i="1"/>
  <c r="N59" i="1"/>
  <c r="M59" i="1"/>
  <c r="L59" i="1"/>
  <c r="K59" i="1"/>
  <c r="J59" i="1"/>
  <c r="H59" i="1"/>
  <c r="CK57" i="1"/>
  <c r="CB57" i="1"/>
  <c r="BN57" i="1"/>
  <c r="BK57" i="1"/>
  <c r="BF57" i="1"/>
  <c r="BB57" i="1"/>
  <c r="AE57" i="1"/>
  <c r="U57" i="1"/>
  <c r="P57" i="1"/>
  <c r="I57" i="1"/>
  <c r="CO56" i="1"/>
  <c r="CM56" i="1"/>
  <c r="CI56" i="1"/>
  <c r="CF56" i="1"/>
  <c r="CD56" i="1"/>
  <c r="CC56" i="1"/>
  <c r="BY56" i="1"/>
  <c r="BX56" i="1"/>
  <c r="BW56" i="1"/>
  <c r="BV56" i="1"/>
  <c r="BU56" i="1"/>
  <c r="BT56" i="1"/>
  <c r="BS56" i="1"/>
  <c r="BR56" i="1"/>
  <c r="BQ56" i="1"/>
  <c r="BP56" i="1"/>
  <c r="BO56" i="1"/>
  <c r="BL56" i="1"/>
  <c r="BI56" i="1"/>
  <c r="BH56" i="1"/>
  <c r="BG56" i="1"/>
  <c r="BE56" i="1"/>
  <c r="BD56" i="1"/>
  <c r="BC56" i="1"/>
  <c r="AZ56" i="1"/>
  <c r="AX56" i="1"/>
  <c r="AW56" i="1"/>
  <c r="AV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O56" i="1"/>
  <c r="N56" i="1"/>
  <c r="M56" i="1"/>
  <c r="L56" i="1"/>
  <c r="K56" i="1"/>
  <c r="J56" i="1"/>
  <c r="CK54" i="1"/>
  <c r="CB54" i="1"/>
  <c r="BN54" i="1"/>
  <c r="BK54" i="1"/>
  <c r="BF54" i="1"/>
  <c r="BB54" i="1"/>
  <c r="AE54" i="1"/>
  <c r="U54" i="1"/>
  <c r="P54" i="1"/>
  <c r="I54" i="1"/>
  <c r="CO53" i="1"/>
  <c r="CM53" i="1"/>
  <c r="CI53" i="1"/>
  <c r="CF53" i="1"/>
  <c r="CD53" i="1"/>
  <c r="CC53" i="1"/>
  <c r="BY53" i="1"/>
  <c r="BX53" i="1"/>
  <c r="BW53" i="1"/>
  <c r="BV53" i="1"/>
  <c r="BU53" i="1"/>
  <c r="BT53" i="1"/>
  <c r="BS53" i="1"/>
  <c r="BR53" i="1"/>
  <c r="BQ53" i="1"/>
  <c r="BP53" i="1"/>
  <c r="BO53" i="1"/>
  <c r="BL53" i="1"/>
  <c r="BI53" i="1"/>
  <c r="BH53" i="1"/>
  <c r="BG53" i="1"/>
  <c r="BE53" i="1"/>
  <c r="BD53" i="1"/>
  <c r="BC53" i="1"/>
  <c r="AZ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D53" i="1"/>
  <c r="AC53" i="1"/>
  <c r="AB53" i="1"/>
  <c r="AA53" i="1"/>
  <c r="Z53" i="1"/>
  <c r="Y53" i="1"/>
  <c r="X53" i="1"/>
  <c r="W53" i="1"/>
  <c r="V53" i="1"/>
  <c r="T53" i="1"/>
  <c r="S53" i="1"/>
  <c r="R53" i="1"/>
  <c r="Q53" i="1"/>
  <c r="O53" i="1"/>
  <c r="N53" i="1"/>
  <c r="M53" i="1"/>
  <c r="L53" i="1"/>
  <c r="K53" i="1"/>
  <c r="J53" i="1"/>
  <c r="H53" i="1"/>
  <c r="G53" i="1"/>
  <c r="CK52" i="1"/>
  <c r="CB52" i="1"/>
  <c r="BN52" i="1"/>
  <c r="BK52" i="1"/>
  <c r="BF52" i="1"/>
  <c r="BB52" i="1"/>
  <c r="AE52" i="1"/>
  <c r="U52" i="1"/>
  <c r="P52" i="1"/>
  <c r="I52" i="1"/>
  <c r="CO51" i="1"/>
  <c r="CM51" i="1"/>
  <c r="CI51" i="1"/>
  <c r="CF51" i="1"/>
  <c r="CD51" i="1"/>
  <c r="CC51" i="1"/>
  <c r="BY51" i="1"/>
  <c r="BX51" i="1"/>
  <c r="BW51" i="1"/>
  <c r="BV51" i="1"/>
  <c r="BU51" i="1"/>
  <c r="BT51" i="1"/>
  <c r="BS51" i="1"/>
  <c r="BR51" i="1"/>
  <c r="BQ51" i="1"/>
  <c r="BP51" i="1"/>
  <c r="BO51" i="1"/>
  <c r="BL51" i="1"/>
  <c r="BI51" i="1"/>
  <c r="BH51" i="1"/>
  <c r="BG51" i="1"/>
  <c r="BE51" i="1"/>
  <c r="BD51" i="1"/>
  <c r="BC51" i="1"/>
  <c r="AZ51" i="1"/>
  <c r="AX51" i="1"/>
  <c r="AW51" i="1"/>
  <c r="AV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D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H51" i="1"/>
  <c r="CK50" i="1"/>
  <c r="CB50" i="1"/>
  <c r="BK50" i="1"/>
  <c r="BF50" i="1"/>
  <c r="BB50" i="1"/>
  <c r="AE50" i="1"/>
  <c r="U50" i="1"/>
  <c r="P50" i="1"/>
  <c r="I50" i="1"/>
  <c r="CO49" i="1"/>
  <c r="CM49" i="1"/>
  <c r="CI49" i="1"/>
  <c r="CF49" i="1"/>
  <c r="CD49" i="1"/>
  <c r="CC49" i="1"/>
  <c r="BY49" i="1"/>
  <c r="BX49" i="1"/>
  <c r="BW49" i="1"/>
  <c r="BV49" i="1"/>
  <c r="BU49" i="1"/>
  <c r="BT49" i="1"/>
  <c r="BS49" i="1"/>
  <c r="BR49" i="1"/>
  <c r="BQ49" i="1"/>
  <c r="BP49" i="1"/>
  <c r="BO49" i="1"/>
  <c r="BL49" i="1"/>
  <c r="BI49" i="1"/>
  <c r="BH49" i="1"/>
  <c r="BG49" i="1"/>
  <c r="BE49" i="1"/>
  <c r="BD49" i="1"/>
  <c r="BC49" i="1"/>
  <c r="AZ49" i="1"/>
  <c r="AX49" i="1"/>
  <c r="AW49" i="1"/>
  <c r="AV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D49" i="1"/>
  <c r="AC49" i="1"/>
  <c r="AB49" i="1"/>
  <c r="AA49" i="1"/>
  <c r="Z49" i="1"/>
  <c r="Y49" i="1"/>
  <c r="X49" i="1"/>
  <c r="W49" i="1"/>
  <c r="V49" i="1"/>
  <c r="T49" i="1"/>
  <c r="S49" i="1"/>
  <c r="R49" i="1"/>
  <c r="Q49" i="1"/>
  <c r="CK48" i="1"/>
  <c r="CB48" i="1"/>
  <c r="BN48" i="1"/>
  <c r="BK48" i="1"/>
  <c r="BF48" i="1"/>
  <c r="BB48" i="1"/>
  <c r="AE48" i="1"/>
  <c r="U48" i="1"/>
  <c r="P48" i="1"/>
  <c r="I48" i="1"/>
  <c r="CO47" i="1"/>
  <c r="CM47" i="1"/>
  <c r="CI47" i="1"/>
  <c r="CF47" i="1"/>
  <c r="CD47" i="1"/>
  <c r="CC47" i="1"/>
  <c r="BY47" i="1"/>
  <c r="BX47" i="1"/>
  <c r="BW47" i="1"/>
  <c r="BV47" i="1"/>
  <c r="BU47" i="1"/>
  <c r="BT47" i="1"/>
  <c r="BS47" i="1"/>
  <c r="BR47" i="1"/>
  <c r="BQ47" i="1"/>
  <c r="BP47" i="1"/>
  <c r="BO47" i="1"/>
  <c r="BL47" i="1"/>
  <c r="BI47" i="1"/>
  <c r="BH47" i="1"/>
  <c r="BG47" i="1"/>
  <c r="BE47" i="1"/>
  <c r="BD47" i="1"/>
  <c r="BC47" i="1"/>
  <c r="AZ47" i="1"/>
  <c r="AX47" i="1"/>
  <c r="AW47" i="1"/>
  <c r="AV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O47" i="1"/>
  <c r="N47" i="1"/>
  <c r="M47" i="1"/>
  <c r="L47" i="1"/>
  <c r="K47" i="1"/>
  <c r="J47" i="1"/>
  <c r="G47" i="1"/>
  <c r="CK46" i="1"/>
  <c r="CB46" i="1"/>
  <c r="BN46" i="1"/>
  <c r="BK46" i="1"/>
  <c r="BF46" i="1"/>
  <c r="BB46" i="1"/>
  <c r="AE46" i="1"/>
  <c r="U46" i="1"/>
  <c r="P46" i="1"/>
  <c r="I46" i="1"/>
  <c r="CO45" i="1"/>
  <c r="CM45" i="1"/>
  <c r="CI45" i="1"/>
  <c r="CF45" i="1"/>
  <c r="CD45" i="1"/>
  <c r="CC45" i="1"/>
  <c r="BY45" i="1"/>
  <c r="BX45" i="1"/>
  <c r="BW45" i="1"/>
  <c r="BV45" i="1"/>
  <c r="BU45" i="1"/>
  <c r="BT45" i="1"/>
  <c r="BS45" i="1"/>
  <c r="BR45" i="1"/>
  <c r="BQ45" i="1"/>
  <c r="BP45" i="1"/>
  <c r="BO45" i="1"/>
  <c r="BL45" i="1"/>
  <c r="BI45" i="1"/>
  <c r="BH45" i="1"/>
  <c r="BG45" i="1"/>
  <c r="BE45" i="1"/>
  <c r="BD45" i="1"/>
  <c r="BC45" i="1"/>
  <c r="AZ45" i="1"/>
  <c r="AX45" i="1"/>
  <c r="AW45" i="1"/>
  <c r="AV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D45" i="1"/>
  <c r="AC45" i="1"/>
  <c r="AB45" i="1"/>
  <c r="AA45" i="1"/>
  <c r="Z45" i="1"/>
  <c r="Y45" i="1"/>
  <c r="X45" i="1"/>
  <c r="W45" i="1"/>
  <c r="V45" i="1"/>
  <c r="T45" i="1"/>
  <c r="S45" i="1"/>
  <c r="R45" i="1"/>
  <c r="Q45" i="1"/>
  <c r="O45" i="1"/>
  <c r="N45" i="1"/>
  <c r="M45" i="1"/>
  <c r="L45" i="1"/>
  <c r="K45" i="1"/>
  <c r="J45" i="1"/>
  <c r="CK43" i="1"/>
  <c r="CB43" i="1"/>
  <c r="BK43" i="1"/>
  <c r="BF43" i="1"/>
  <c r="BB43" i="1"/>
  <c r="AE43" i="1"/>
  <c r="U43" i="1"/>
  <c r="P43" i="1"/>
  <c r="I43" i="1"/>
  <c r="CO42" i="1"/>
  <c r="CM42" i="1"/>
  <c r="CI42" i="1"/>
  <c r="CF42" i="1"/>
  <c r="CD42" i="1"/>
  <c r="CC42" i="1"/>
  <c r="BY42" i="1"/>
  <c r="BX42" i="1"/>
  <c r="BW42" i="1"/>
  <c r="BV42" i="1"/>
  <c r="BU42" i="1"/>
  <c r="BT42" i="1"/>
  <c r="BS42" i="1"/>
  <c r="BR42" i="1"/>
  <c r="BQ42" i="1"/>
  <c r="BP42" i="1"/>
  <c r="BO42" i="1"/>
  <c r="BL42" i="1"/>
  <c r="BI42" i="1"/>
  <c r="BH42" i="1"/>
  <c r="BG42" i="1"/>
  <c r="BE42" i="1"/>
  <c r="BD42" i="1"/>
  <c r="BC42" i="1"/>
  <c r="AW42" i="1"/>
  <c r="AV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D42" i="1"/>
  <c r="AC42" i="1"/>
  <c r="AB42" i="1"/>
  <c r="AA42" i="1"/>
  <c r="Z42" i="1"/>
  <c r="Y42" i="1"/>
  <c r="X42" i="1"/>
  <c r="W42" i="1"/>
  <c r="V42" i="1"/>
  <c r="T42" i="1"/>
  <c r="S42" i="1"/>
  <c r="R42" i="1"/>
  <c r="Q42" i="1"/>
  <c r="O42" i="1"/>
  <c r="N42" i="1"/>
  <c r="M42" i="1"/>
  <c r="L42" i="1"/>
  <c r="K42" i="1"/>
  <c r="J42" i="1"/>
  <c r="CK39" i="1"/>
  <c r="CB39" i="1"/>
  <c r="BN39" i="1"/>
  <c r="BK39" i="1"/>
  <c r="BF39" i="1"/>
  <c r="BB39" i="1"/>
  <c r="Z35" i="1"/>
  <c r="P39" i="1"/>
  <c r="I39" i="1"/>
  <c r="N35" i="1"/>
  <c r="CK38" i="1"/>
  <c r="CB38" i="1"/>
  <c r="BK38" i="1"/>
  <c r="BF38" i="1"/>
  <c r="BB38" i="1"/>
  <c r="AE38" i="1"/>
  <c r="U38" i="1"/>
  <c r="P38" i="1"/>
  <c r="CK37" i="1"/>
  <c r="CB37" i="1"/>
  <c r="BN37" i="1"/>
  <c r="BK37" i="1"/>
  <c r="BF37" i="1"/>
  <c r="BB37" i="1"/>
  <c r="AE37" i="1"/>
  <c r="U37" i="1"/>
  <c r="P37" i="1"/>
  <c r="I37" i="1"/>
  <c r="R35" i="1"/>
  <c r="CK36" i="1"/>
  <c r="CB36" i="1"/>
  <c r="BN36" i="1"/>
  <c r="BK36" i="1"/>
  <c r="BF36" i="1"/>
  <c r="BB36" i="1"/>
  <c r="AE36" i="1"/>
  <c r="U36" i="1"/>
  <c r="P36" i="1"/>
  <c r="I36" i="1"/>
  <c r="CO35" i="1"/>
  <c r="CM35" i="1"/>
  <c r="CI35" i="1"/>
  <c r="CF35" i="1"/>
  <c r="CD35" i="1"/>
  <c r="CC35" i="1"/>
  <c r="BY35" i="1"/>
  <c r="BX35" i="1"/>
  <c r="BW35" i="1"/>
  <c r="BV35" i="1"/>
  <c r="BU35" i="1"/>
  <c r="BT35" i="1"/>
  <c r="BS35" i="1"/>
  <c r="BR35" i="1"/>
  <c r="BQ35" i="1"/>
  <c r="BP35" i="1"/>
  <c r="BO35" i="1"/>
  <c r="BL35" i="1"/>
  <c r="BI35" i="1"/>
  <c r="BH35" i="1"/>
  <c r="BG35" i="1"/>
  <c r="BE35" i="1"/>
  <c r="BD35" i="1"/>
  <c r="BC35" i="1"/>
  <c r="AX35" i="1"/>
  <c r="AW35" i="1"/>
  <c r="AV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Q35" i="1"/>
  <c r="M35" i="1"/>
  <c r="L35" i="1"/>
  <c r="J35" i="1"/>
  <c r="CK34" i="1"/>
  <c r="CB34" i="1"/>
  <c r="BK34" i="1"/>
  <c r="BF34" i="1"/>
  <c r="BB34" i="1"/>
  <c r="AE34" i="1"/>
  <c r="U34" i="1"/>
  <c r="P34" i="1"/>
  <c r="I34" i="1"/>
  <c r="CO33" i="1"/>
  <c r="CM33" i="1"/>
  <c r="CI33" i="1"/>
  <c r="CF33" i="1"/>
  <c r="CD33" i="1"/>
  <c r="CC33" i="1"/>
  <c r="BY33" i="1"/>
  <c r="BX33" i="1"/>
  <c r="BW33" i="1"/>
  <c r="BV33" i="1"/>
  <c r="BU33" i="1"/>
  <c r="BT33" i="1"/>
  <c r="BS33" i="1"/>
  <c r="BR33" i="1"/>
  <c r="BQ33" i="1"/>
  <c r="BP33" i="1"/>
  <c r="BO33" i="1"/>
  <c r="BL33" i="1"/>
  <c r="BI33" i="1"/>
  <c r="BH33" i="1"/>
  <c r="BG33" i="1"/>
  <c r="BE33" i="1"/>
  <c r="BD33" i="1"/>
  <c r="BC33" i="1"/>
  <c r="AZ33" i="1"/>
  <c r="AX33" i="1"/>
  <c r="AW33" i="1"/>
  <c r="AV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D33" i="1"/>
  <c r="AC33" i="1"/>
  <c r="AB33" i="1"/>
  <c r="AA33" i="1"/>
  <c r="Z33" i="1"/>
  <c r="Y33" i="1"/>
  <c r="X33" i="1"/>
  <c r="W33" i="1"/>
  <c r="V33" i="1"/>
  <c r="T33" i="1"/>
  <c r="S33" i="1"/>
  <c r="R33" i="1"/>
  <c r="Q33" i="1"/>
  <c r="O33" i="1"/>
  <c r="N33" i="1"/>
  <c r="M33" i="1"/>
  <c r="L33" i="1"/>
  <c r="K33" i="1"/>
  <c r="J33" i="1"/>
  <c r="H33" i="1"/>
  <c r="CK32" i="1"/>
  <c r="CB32" i="1"/>
  <c r="BK32" i="1"/>
  <c r="BF32" i="1"/>
  <c r="BB32" i="1"/>
  <c r="P32" i="1"/>
  <c r="I32" i="1"/>
  <c r="CK31" i="1"/>
  <c r="CB31" i="1"/>
  <c r="BN31" i="1"/>
  <c r="BK31" i="1"/>
  <c r="BF31" i="1"/>
  <c r="BB31" i="1"/>
  <c r="AE31" i="1"/>
  <c r="U31" i="1"/>
  <c r="P31" i="1"/>
  <c r="I31" i="1"/>
  <c r="CK30" i="1"/>
  <c r="BN30" i="1"/>
  <c r="BK30" i="1"/>
  <c r="BF30" i="1"/>
  <c r="BB30" i="1"/>
  <c r="U30" i="1"/>
  <c r="P30" i="1"/>
  <c r="CK29" i="1"/>
  <c r="CB29" i="1"/>
  <c r="BN29" i="1"/>
  <c r="BK29" i="1"/>
  <c r="BF29" i="1"/>
  <c r="BB29" i="1"/>
  <c r="AE29" i="1"/>
  <c r="U29" i="1"/>
  <c r="P29" i="1"/>
  <c r="I29" i="1"/>
  <c r="CK28" i="1"/>
  <c r="CB28" i="1"/>
  <c r="BN28" i="1"/>
  <c r="BK28" i="1"/>
  <c r="BF28" i="1"/>
  <c r="BB28" i="1"/>
  <c r="AE28" i="1"/>
  <c r="U28" i="1"/>
  <c r="P28" i="1"/>
  <c r="I28" i="1"/>
  <c r="CK27" i="1"/>
  <c r="CB27" i="1"/>
  <c r="BN27" i="1"/>
  <c r="BK27" i="1"/>
  <c r="BF27" i="1"/>
  <c r="BB27" i="1"/>
  <c r="AE27" i="1"/>
  <c r="U27" i="1"/>
  <c r="P27" i="1"/>
  <c r="I27" i="1"/>
  <c r="CK26" i="1"/>
  <c r="BN26" i="1"/>
  <c r="BK26" i="1"/>
  <c r="BF26" i="1"/>
  <c r="BB26" i="1"/>
  <c r="AE26" i="1"/>
  <c r="Z19" i="1"/>
  <c r="P26" i="1"/>
  <c r="CK25" i="1"/>
  <c r="CB25" i="1"/>
  <c r="BN25" i="1"/>
  <c r="BK25" i="1"/>
  <c r="BF25" i="1"/>
  <c r="BB25" i="1"/>
  <c r="AE25" i="1"/>
  <c r="U25" i="1"/>
  <c r="P25" i="1"/>
  <c r="I25" i="1"/>
  <c r="CK24" i="1"/>
  <c r="CB24" i="1"/>
  <c r="BN24" i="1"/>
  <c r="BK24" i="1"/>
  <c r="BF24" i="1"/>
  <c r="BB24" i="1"/>
  <c r="AE24" i="1"/>
  <c r="U24" i="1"/>
  <c r="P24" i="1"/>
  <c r="I24" i="1"/>
  <c r="CK23" i="1"/>
  <c r="CB23" i="1"/>
  <c r="BN23" i="1"/>
  <c r="BK23" i="1"/>
  <c r="BF23" i="1"/>
  <c r="BB23" i="1"/>
  <c r="AE23" i="1"/>
  <c r="U23" i="1"/>
  <c r="P23" i="1"/>
  <c r="I23" i="1"/>
  <c r="CK22" i="1"/>
  <c r="CB22" i="1"/>
  <c r="BN22" i="1"/>
  <c r="BK22" i="1"/>
  <c r="BF22" i="1"/>
  <c r="BB22" i="1"/>
  <c r="AE22" i="1"/>
  <c r="U22" i="1"/>
  <c r="P22" i="1"/>
  <c r="I22" i="1"/>
  <c r="CK21" i="1"/>
  <c r="CB21" i="1"/>
  <c r="BN21" i="1"/>
  <c r="BK21" i="1"/>
  <c r="BF21" i="1"/>
  <c r="BB21" i="1"/>
  <c r="AE21" i="1"/>
  <c r="U21" i="1"/>
  <c r="P21" i="1"/>
  <c r="CK20" i="1"/>
  <c r="CB20" i="1"/>
  <c r="BN20" i="1"/>
  <c r="BK20" i="1"/>
  <c r="BF20" i="1"/>
  <c r="BB20" i="1"/>
  <c r="AE20" i="1"/>
  <c r="U20" i="1"/>
  <c r="P20" i="1"/>
  <c r="I20" i="1"/>
  <c r="CO19" i="1"/>
  <c r="CM19" i="1"/>
  <c r="CI19" i="1"/>
  <c r="CF19" i="1"/>
  <c r="CC19" i="1"/>
  <c r="BY19" i="1"/>
  <c r="BW19" i="1"/>
  <c r="BV19" i="1"/>
  <c r="BU19" i="1"/>
  <c r="BT19" i="1"/>
  <c r="BS19" i="1"/>
  <c r="BR19" i="1"/>
  <c r="BQ19" i="1"/>
  <c r="BP19" i="1"/>
  <c r="BO19" i="1"/>
  <c r="BL19" i="1"/>
  <c r="BI19" i="1"/>
  <c r="BH19" i="1"/>
  <c r="BG19" i="1"/>
  <c r="BE19" i="1"/>
  <c r="BD19" i="1"/>
  <c r="BC19" i="1"/>
  <c r="AX19" i="1"/>
  <c r="AW19" i="1"/>
  <c r="AV19" i="1"/>
  <c r="AS19" i="1"/>
  <c r="AR19" i="1"/>
  <c r="AQ19" i="1"/>
  <c r="AO19" i="1"/>
  <c r="AN19" i="1"/>
  <c r="AL19" i="1"/>
  <c r="AJ19" i="1"/>
  <c r="AG19" i="1"/>
  <c r="AF19" i="1"/>
  <c r="AD19" i="1"/>
  <c r="AC19" i="1"/>
  <c r="AB19" i="1"/>
  <c r="AA19" i="1"/>
  <c r="X19" i="1"/>
  <c r="V19" i="1"/>
  <c r="T19" i="1"/>
  <c r="S19" i="1"/>
  <c r="Q19" i="1"/>
  <c r="M19" i="1"/>
  <c r="L19" i="1"/>
  <c r="K19" i="1"/>
  <c r="J19" i="1"/>
  <c r="CK18" i="1"/>
  <c r="CB18" i="1"/>
  <c r="BK18" i="1"/>
  <c r="BF18" i="1"/>
  <c r="BB18" i="1"/>
  <c r="AE18" i="1"/>
  <c r="U18" i="1"/>
  <c r="P18" i="1"/>
  <c r="I18" i="1"/>
  <c r="CK17" i="1"/>
  <c r="CB17" i="1"/>
  <c r="BK17" i="1"/>
  <c r="BF17" i="1"/>
  <c r="BB17" i="1"/>
  <c r="U17" i="1"/>
  <c r="P17" i="1"/>
  <c r="I17" i="1"/>
  <c r="CK16" i="1"/>
  <c r="CB16" i="1"/>
  <c r="BX15" i="1"/>
  <c r="BK16" i="1"/>
  <c r="BF16" i="1"/>
  <c r="BB16" i="1"/>
  <c r="AE16" i="1"/>
  <c r="W15" i="1"/>
  <c r="P16" i="1"/>
  <c r="I16" i="1"/>
  <c r="CO15" i="1"/>
  <c r="CM15" i="1"/>
  <c r="CI15" i="1"/>
  <c r="CF15" i="1"/>
  <c r="CD15" i="1"/>
  <c r="CC15" i="1"/>
  <c r="BY15" i="1"/>
  <c r="BW15" i="1"/>
  <c r="BV15" i="1"/>
  <c r="BU15" i="1"/>
  <c r="BT15" i="1"/>
  <c r="BS15" i="1"/>
  <c r="BR15" i="1"/>
  <c r="BQ15" i="1"/>
  <c r="BP15" i="1"/>
  <c r="BO15" i="1"/>
  <c r="BL15" i="1"/>
  <c r="BI15" i="1"/>
  <c r="BH15" i="1"/>
  <c r="BG15" i="1"/>
  <c r="BE15" i="1"/>
  <c r="BD15" i="1"/>
  <c r="BC15" i="1"/>
  <c r="AW15" i="1"/>
  <c r="AV15" i="1"/>
  <c r="AS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D15" i="1"/>
  <c r="AC15" i="1"/>
  <c r="AB15" i="1"/>
  <c r="AA15" i="1"/>
  <c r="Z15" i="1"/>
  <c r="Y15" i="1"/>
  <c r="X15" i="1"/>
  <c r="V15" i="1"/>
  <c r="T15" i="1"/>
  <c r="S15" i="1"/>
  <c r="R15" i="1"/>
  <c r="Q15" i="1"/>
  <c r="O15" i="1"/>
  <c r="N15" i="1"/>
  <c r="M15" i="1"/>
  <c r="L15" i="1"/>
  <c r="K15" i="1"/>
  <c r="J15" i="1"/>
  <c r="G15" i="1"/>
  <c r="CK14" i="1"/>
  <c r="CB14" i="1"/>
  <c r="BK14" i="1"/>
  <c r="BF14" i="1"/>
  <c r="BB14" i="1"/>
  <c r="AE14" i="1"/>
  <c r="U14" i="1"/>
  <c r="P14" i="1"/>
  <c r="CO13" i="1"/>
  <c r="CM13" i="1"/>
  <c r="CI13" i="1"/>
  <c r="CF13" i="1"/>
  <c r="CD13" i="1"/>
  <c r="CC13" i="1"/>
  <c r="BY13" i="1"/>
  <c r="BX13" i="1"/>
  <c r="BW13" i="1"/>
  <c r="BV13" i="1"/>
  <c r="BU13" i="1"/>
  <c r="BT13" i="1"/>
  <c r="BS13" i="1"/>
  <c r="BR13" i="1"/>
  <c r="BQ13" i="1"/>
  <c r="BP13" i="1"/>
  <c r="BO13" i="1"/>
  <c r="BL13" i="1"/>
  <c r="BI13" i="1"/>
  <c r="BH13" i="1"/>
  <c r="BG13" i="1"/>
  <c r="BE13" i="1"/>
  <c r="BD13" i="1"/>
  <c r="BC13" i="1"/>
  <c r="AZ13" i="1"/>
  <c r="AX13" i="1"/>
  <c r="AW13" i="1"/>
  <c r="AV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D13" i="1"/>
  <c r="AC13" i="1"/>
  <c r="AB13" i="1"/>
  <c r="AA13" i="1"/>
  <c r="Z13" i="1"/>
  <c r="Y13" i="1"/>
  <c r="X13" i="1"/>
  <c r="W13" i="1"/>
  <c r="V13" i="1"/>
  <c r="T13" i="1"/>
  <c r="S13" i="1"/>
  <c r="R13" i="1"/>
  <c r="Q13" i="1"/>
  <c r="O13" i="1"/>
  <c r="N13" i="1"/>
  <c r="M13" i="1"/>
  <c r="L13" i="1"/>
  <c r="K13" i="1"/>
  <c r="J13" i="1"/>
  <c r="K64" i="1"/>
  <c r="AE296" i="1"/>
  <c r="AI162" i="1"/>
  <c r="AV295" i="1"/>
  <c r="O122" i="1"/>
  <c r="AE158" i="1"/>
  <c r="CB296" i="1"/>
  <c r="CD295" i="1"/>
  <c r="G19" i="1"/>
  <c r="CD162" i="1"/>
  <c r="CD126" i="1"/>
  <c r="I163" i="1"/>
  <c r="J162" i="1"/>
  <c r="AE217" i="1"/>
  <c r="BH290" i="1"/>
  <c r="M99" i="1" l="1"/>
  <c r="W99" i="1"/>
  <c r="AF99" i="1"/>
  <c r="AN99" i="1"/>
  <c r="AX99" i="1"/>
  <c r="BL99" i="1"/>
  <c r="BV99" i="1"/>
  <c r="CM99" i="1"/>
  <c r="U215" i="1"/>
  <c r="CO218" i="1"/>
  <c r="BK278" i="1"/>
  <c r="AE292" i="1"/>
  <c r="N99" i="1"/>
  <c r="X99" i="1"/>
  <c r="AG99" i="1"/>
  <c r="AO99" i="1"/>
  <c r="AZ99" i="1"/>
  <c r="BO99" i="1"/>
  <c r="BW99" i="1"/>
  <c r="CO99" i="1"/>
  <c r="BB215" i="1"/>
  <c r="BN278" i="1"/>
  <c r="BB292" i="1"/>
  <c r="O99" i="1"/>
  <c r="Y99" i="1"/>
  <c r="AH99" i="1"/>
  <c r="AP99" i="1"/>
  <c r="BC99" i="1"/>
  <c r="BP99" i="1"/>
  <c r="BX99" i="1"/>
  <c r="BF215" i="1"/>
  <c r="CB278" i="1"/>
  <c r="BF292" i="1"/>
  <c r="Q99" i="1"/>
  <c r="Z99" i="1"/>
  <c r="AI99" i="1"/>
  <c r="AQ99" i="1"/>
  <c r="BD99" i="1"/>
  <c r="BQ99" i="1"/>
  <c r="BY99" i="1"/>
  <c r="BK215" i="1"/>
  <c r="I278" i="1"/>
  <c r="CK278" i="1"/>
  <c r="BK292" i="1"/>
  <c r="G99" i="1"/>
  <c r="R99" i="1"/>
  <c r="AA99" i="1"/>
  <c r="AJ99" i="1"/>
  <c r="AR99" i="1"/>
  <c r="BE99" i="1"/>
  <c r="BR99" i="1"/>
  <c r="CC99" i="1"/>
  <c r="BN215" i="1"/>
  <c r="P278" i="1"/>
  <c r="BN292" i="1"/>
  <c r="J99" i="1"/>
  <c r="S99" i="1"/>
  <c r="AB99" i="1"/>
  <c r="AK99" i="1"/>
  <c r="AS99" i="1"/>
  <c r="BG99" i="1"/>
  <c r="BS99" i="1"/>
  <c r="CD99" i="1"/>
  <c r="CB215" i="1"/>
  <c r="U278" i="1"/>
  <c r="I292" i="1"/>
  <c r="CB292" i="1"/>
  <c r="AE215" i="1"/>
  <c r="K99" i="1"/>
  <c r="T99" i="1"/>
  <c r="AC99" i="1"/>
  <c r="AL99" i="1"/>
  <c r="AV99" i="1"/>
  <c r="BH99" i="1"/>
  <c r="BT99" i="1"/>
  <c r="CF99" i="1"/>
  <c r="I215" i="1"/>
  <c r="CK215" i="1"/>
  <c r="BB278" i="1"/>
  <c r="P292" i="1"/>
  <c r="CK292" i="1"/>
  <c r="L99" i="1"/>
  <c r="V99" i="1"/>
  <c r="AD99" i="1"/>
  <c r="AM99" i="1"/>
  <c r="AW99" i="1"/>
  <c r="BI99" i="1"/>
  <c r="BU99" i="1"/>
  <c r="CI99" i="1"/>
  <c r="P215" i="1"/>
  <c r="BF278" i="1"/>
  <c r="U292" i="1"/>
  <c r="F221" i="1"/>
  <c r="AD12" i="1"/>
  <c r="AP152" i="1"/>
  <c r="AO152" i="1"/>
  <c r="BA304" i="1"/>
  <c r="BA43" i="1"/>
  <c r="BA38" i="1"/>
  <c r="Z152" i="1"/>
  <c r="CM152" i="1"/>
  <c r="BE152" i="1"/>
  <c r="BV152" i="1"/>
  <c r="BQ152" i="1"/>
  <c r="BG152" i="1"/>
  <c r="BW152" i="1"/>
  <c r="BP152" i="1"/>
  <c r="M152" i="1"/>
  <c r="V152" i="1"/>
  <c r="BC152" i="1"/>
  <c r="BT152" i="1"/>
  <c r="BI152" i="1"/>
  <c r="BY152" i="1"/>
  <c r="J152" i="1"/>
  <c r="BL152" i="1"/>
  <c r="CC152" i="1"/>
  <c r="AD152" i="1"/>
  <c r="BO152" i="1"/>
  <c r="CF152" i="1"/>
  <c r="BR152" i="1"/>
  <c r="S152" i="1"/>
  <c r="BS152" i="1"/>
  <c r="CO152" i="1"/>
  <c r="W152" i="1"/>
  <c r="BD152" i="1"/>
  <c r="BU152" i="1"/>
  <c r="BH152" i="1"/>
  <c r="BX152" i="1"/>
  <c r="BA227" i="1"/>
  <c r="Q152" i="1"/>
  <c r="Y152" i="1"/>
  <c r="AC152" i="1"/>
  <c r="AL152" i="1"/>
  <c r="AW152" i="1"/>
  <c r="K152" i="1"/>
  <c r="AA152" i="1"/>
  <c r="AF152" i="1"/>
  <c r="AJ152" i="1"/>
  <c r="AS152" i="1"/>
  <c r="CI152" i="1"/>
  <c r="AQ152" i="1"/>
  <c r="AK152" i="1"/>
  <c r="AV152" i="1"/>
  <c r="AM152" i="1"/>
  <c r="AX152" i="1"/>
  <c r="L152" i="1"/>
  <c r="AB152" i="1"/>
  <c r="AG152" i="1"/>
  <c r="AE85" i="1"/>
  <c r="BN85" i="1"/>
  <c r="P85" i="1"/>
  <c r="BB85" i="1"/>
  <c r="BK85" i="1"/>
  <c r="BF85" i="1"/>
  <c r="CK85" i="1"/>
  <c r="U85" i="1"/>
  <c r="I85" i="1"/>
  <c r="CB85" i="1"/>
  <c r="N274" i="1"/>
  <c r="BA36" i="1"/>
  <c r="BA37" i="1"/>
  <c r="BA50" i="1"/>
  <c r="BA54" i="1"/>
  <c r="BC55" i="1"/>
  <c r="BE55" i="1"/>
  <c r="BH55" i="1"/>
  <c r="BL55" i="1"/>
  <c r="BP55" i="1"/>
  <c r="BR55" i="1"/>
  <c r="BT55" i="1"/>
  <c r="BV55" i="1"/>
  <c r="BX55" i="1"/>
  <c r="CC55" i="1"/>
  <c r="CF55" i="1"/>
  <c r="CO55" i="1"/>
  <c r="BA39" i="1"/>
  <c r="BA46" i="1"/>
  <c r="BA48" i="1"/>
  <c r="BA52" i="1"/>
  <c r="BD55" i="1"/>
  <c r="BG55" i="1"/>
  <c r="BI55" i="1"/>
  <c r="BO55" i="1"/>
  <c r="BQ55" i="1"/>
  <c r="BS55" i="1"/>
  <c r="BU55" i="1"/>
  <c r="BW55" i="1"/>
  <c r="BY55" i="1"/>
  <c r="CI55" i="1"/>
  <c r="CM55" i="1"/>
  <c r="BA57" i="1"/>
  <c r="CD55" i="1"/>
  <c r="AG55" i="1"/>
  <c r="AI55" i="1"/>
  <c r="AK55" i="1"/>
  <c r="AM55" i="1"/>
  <c r="AO55" i="1"/>
  <c r="AQ55" i="1"/>
  <c r="AS55" i="1"/>
  <c r="AW55" i="1"/>
  <c r="AZ55" i="1"/>
  <c r="AF55" i="1"/>
  <c r="AH55" i="1"/>
  <c r="AJ55" i="1"/>
  <c r="AL55" i="1"/>
  <c r="AN55" i="1"/>
  <c r="AP55" i="1"/>
  <c r="AR55" i="1"/>
  <c r="AV55" i="1"/>
  <c r="AX55" i="1"/>
  <c r="W55" i="1"/>
  <c r="Y55" i="1"/>
  <c r="AA55" i="1"/>
  <c r="AC55" i="1"/>
  <c r="V55" i="1"/>
  <c r="X55" i="1"/>
  <c r="Z55" i="1"/>
  <c r="AB55" i="1"/>
  <c r="AD55" i="1"/>
  <c r="R55" i="1"/>
  <c r="T55" i="1"/>
  <c r="Q55" i="1"/>
  <c r="S55" i="1"/>
  <c r="J55" i="1"/>
  <c r="L55" i="1"/>
  <c r="N55" i="1"/>
  <c r="K55" i="1"/>
  <c r="M55" i="1"/>
  <c r="O55" i="1"/>
  <c r="U100" i="1"/>
  <c r="BB100" i="1"/>
  <c r="BN100" i="1"/>
  <c r="CE100" i="1"/>
  <c r="U112" i="1"/>
  <c r="BB112" i="1"/>
  <c r="CK112" i="1"/>
  <c r="AE100" i="1"/>
  <c r="CK100" i="1"/>
  <c r="AE112" i="1"/>
  <c r="BF112" i="1"/>
  <c r="BN112" i="1"/>
  <c r="CE112" i="1"/>
  <c r="I100" i="1"/>
  <c r="I112" i="1"/>
  <c r="BK112" i="1"/>
  <c r="CB112" i="1"/>
  <c r="P100" i="1"/>
  <c r="BK100" i="1"/>
  <c r="CB100" i="1"/>
  <c r="P112" i="1"/>
  <c r="AE287" i="1"/>
  <c r="CK177" i="1"/>
  <c r="I296" i="1"/>
  <c r="BF290" i="1"/>
  <c r="AO12" i="1"/>
  <c r="AQ12" i="1"/>
  <c r="AW12" i="1"/>
  <c r="AV12" i="1"/>
  <c r="AR12" i="1"/>
  <c r="AS12" i="1"/>
  <c r="I256" i="1"/>
  <c r="CK272" i="1"/>
  <c r="BB295" i="1"/>
  <c r="J295" i="1"/>
  <c r="I303" i="1"/>
  <c r="I270" i="1"/>
  <c r="U303" i="1"/>
  <c r="AE297" i="1"/>
  <c r="U275" i="1"/>
  <c r="CK270" i="1"/>
  <c r="F302" i="1"/>
  <c r="AE256" i="1"/>
  <c r="BA243" i="1"/>
  <c r="AP274" i="1"/>
  <c r="BW208" i="1"/>
  <c r="AV274" i="1"/>
  <c r="BN272" i="1"/>
  <c r="CB299" i="1"/>
  <c r="BA245" i="1"/>
  <c r="P213" i="1"/>
  <c r="AU277" i="1"/>
  <c r="CE256" i="1"/>
  <c r="BN256" i="1"/>
  <c r="CA302" i="1"/>
  <c r="F262" i="1"/>
  <c r="CK299" i="1"/>
  <c r="U187" i="1"/>
  <c r="U301" i="1"/>
  <c r="CE213" i="1"/>
  <c r="BK303" i="1"/>
  <c r="BA276" i="1"/>
  <c r="BA232" i="1"/>
  <c r="CB197" i="1"/>
  <c r="BN209" i="1"/>
  <c r="CA262" i="1"/>
  <c r="I185" i="1"/>
  <c r="CB297" i="1"/>
  <c r="CB303" i="1"/>
  <c r="BA235" i="1"/>
  <c r="BK290" i="1"/>
  <c r="T274" i="1"/>
  <c r="BF270" i="1"/>
  <c r="CD208" i="1"/>
  <c r="AZ208" i="1"/>
  <c r="CK297" i="1"/>
  <c r="AE275" i="1"/>
  <c r="BS274" i="1"/>
  <c r="BN213" i="1"/>
  <c r="AJ208" i="1"/>
  <c r="BB185" i="1"/>
  <c r="CB139" i="1"/>
  <c r="U164" i="1"/>
  <c r="I172" i="1"/>
  <c r="P181" i="1"/>
  <c r="BA193" i="1"/>
  <c r="BK167" i="1"/>
  <c r="BB272" i="1"/>
  <c r="F249" i="1"/>
  <c r="CA219" i="1"/>
  <c r="BA253" i="1"/>
  <c r="BK231" i="1"/>
  <c r="CI274" i="1"/>
  <c r="AE290" i="1"/>
  <c r="BX63" i="1"/>
  <c r="CA186" i="1"/>
  <c r="BF189" i="1"/>
  <c r="AA64" i="1"/>
  <c r="AR146" i="1"/>
  <c r="CA214" i="1"/>
  <c r="W19" i="1"/>
  <c r="R19" i="1"/>
  <c r="U154" i="1"/>
  <c r="AK19" i="1"/>
  <c r="AQ64" i="1"/>
  <c r="CD73" i="1"/>
  <c r="AS126" i="1"/>
  <c r="CD146" i="1"/>
  <c r="O164" i="1"/>
  <c r="G56" i="1"/>
  <c r="G59" i="1"/>
  <c r="H61" i="1"/>
  <c r="H69" i="1"/>
  <c r="H75" i="1"/>
  <c r="H82" i="1"/>
  <c r="H104" i="1"/>
  <c r="H118" i="1"/>
  <c r="T153" i="1"/>
  <c r="R153" i="1"/>
  <c r="I158" i="1"/>
  <c r="AE116" i="1"/>
  <c r="AZ153" i="1"/>
  <c r="AN152" i="1"/>
  <c r="U158" i="1"/>
  <c r="BN146" i="1"/>
  <c r="CE187" i="1"/>
  <c r="CA192" i="1"/>
  <c r="CA202" i="1"/>
  <c r="BA205" i="1"/>
  <c r="BK197" i="1"/>
  <c r="BK209" i="1"/>
  <c r="CA227" i="1"/>
  <c r="CA237" i="1"/>
  <c r="CA239" i="1"/>
  <c r="CA241" i="1"/>
  <c r="BA244" i="1"/>
  <c r="CA244" i="1"/>
  <c r="BA246" i="1"/>
  <c r="F248" i="1"/>
  <c r="CA250" i="1"/>
  <c r="BA252" i="1"/>
  <c r="U256" i="1"/>
  <c r="BB256" i="1"/>
  <c r="BK256" i="1"/>
  <c r="CB256" i="1"/>
  <c r="CK256" i="1"/>
  <c r="F259" i="1"/>
  <c r="CA260" i="1"/>
  <c r="BA263" i="1"/>
  <c r="CA265" i="1"/>
  <c r="BB270" i="1"/>
  <c r="BK270" i="1"/>
  <c r="CA271" i="1"/>
  <c r="CB270" i="1"/>
  <c r="I272" i="1"/>
  <c r="BA273" i="1"/>
  <c r="BK272" i="1"/>
  <c r="AG274" i="1"/>
  <c r="BV274" i="1"/>
  <c r="CF274" i="1"/>
  <c r="I275" i="1"/>
  <c r="BB275" i="1"/>
  <c r="BK275" i="1"/>
  <c r="BA287" i="1"/>
  <c r="P290" i="1"/>
  <c r="CE290" i="1"/>
  <c r="P297" i="1"/>
  <c r="BN297" i="1"/>
  <c r="BN301" i="1"/>
  <c r="BN303" i="1"/>
  <c r="CA111" i="1"/>
  <c r="BA206" i="1"/>
  <c r="F300" i="1"/>
  <c r="BA296" i="1"/>
  <c r="BS277" i="1"/>
  <c r="BF231" i="1"/>
  <c r="BA265" i="1"/>
  <c r="F239" i="1"/>
  <c r="CA232" i="1"/>
  <c r="BA217" i="1"/>
  <c r="CB272" i="1"/>
  <c r="BA264" i="1"/>
  <c r="F260" i="1"/>
  <c r="BA249" i="1"/>
  <c r="CA238" i="1"/>
  <c r="F251" i="1"/>
  <c r="Q277" i="1"/>
  <c r="CA163" i="1"/>
  <c r="BA262" i="1"/>
  <c r="BA241" i="1"/>
  <c r="CA273" i="1"/>
  <c r="BA302" i="1"/>
  <c r="BA254" i="1"/>
  <c r="BF301" i="1"/>
  <c r="BK295" i="1"/>
  <c r="BX274" i="1"/>
  <c r="U272" i="1"/>
  <c r="CK209" i="1"/>
  <c r="BF303" i="1"/>
  <c r="BF299" i="1"/>
  <c r="CC274" i="1"/>
  <c r="U270" i="1"/>
  <c r="BB139" i="1"/>
  <c r="P126" i="1"/>
  <c r="F157" i="1"/>
  <c r="BB146" i="1"/>
  <c r="CB164" i="1"/>
  <c r="BK146" i="1"/>
  <c r="CK164" i="1"/>
  <c r="BB162" i="1"/>
  <c r="BK164" i="1"/>
  <c r="U170" i="1"/>
  <c r="BK162" i="1"/>
  <c r="P40" i="1"/>
  <c r="BF40" i="1"/>
  <c r="CE40" i="1"/>
  <c r="I61" i="1"/>
  <c r="BF66" i="1"/>
  <c r="AE164" i="1"/>
  <c r="BA165" i="1"/>
  <c r="U167" i="1"/>
  <c r="BB167" i="1"/>
  <c r="CB167" i="1"/>
  <c r="CK167" i="1"/>
  <c r="BD161" i="1"/>
  <c r="F171" i="1"/>
  <c r="BA171" i="1"/>
  <c r="AE172" i="1"/>
  <c r="BN172" i="1"/>
  <c r="AL174" i="1"/>
  <c r="F178" i="1"/>
  <c r="CA178" i="1"/>
  <c r="I181" i="1"/>
  <c r="CE181" i="1"/>
  <c r="P185" i="1"/>
  <c r="AE185" i="1"/>
  <c r="BF185" i="1"/>
  <c r="BN185" i="1"/>
  <c r="CE185" i="1"/>
  <c r="P187" i="1"/>
  <c r="AE187" i="1"/>
  <c r="BN187" i="1"/>
  <c r="BA190" i="1"/>
  <c r="BA191" i="1"/>
  <c r="CA191" i="1"/>
  <c r="CK189" i="1"/>
  <c r="BA195" i="1"/>
  <c r="BF197" i="1"/>
  <c r="CA198" i="1"/>
  <c r="F201" i="1"/>
  <c r="CA203" i="1"/>
  <c r="CA204" i="1"/>
  <c r="CA207" i="1"/>
  <c r="N208" i="1"/>
  <c r="AM208" i="1"/>
  <c r="AX208" i="1"/>
  <c r="CC208" i="1"/>
  <c r="I209" i="1"/>
  <c r="BA210" i="1"/>
  <c r="CB209" i="1"/>
  <c r="CA211" i="1"/>
  <c r="BA214" i="1"/>
  <c r="BK213" i="1"/>
  <c r="CB213" i="1"/>
  <c r="CA217" i="1"/>
  <c r="BA219" i="1"/>
  <c r="CA221" i="1"/>
  <c r="F225" i="1"/>
  <c r="BA225" i="1"/>
  <c r="CA225" i="1"/>
  <c r="F228" i="1"/>
  <c r="BA228" i="1"/>
  <c r="CA228" i="1"/>
  <c r="CK275" i="1"/>
  <c r="CE303" i="1"/>
  <c r="AE295" i="1"/>
  <c r="I33" i="1"/>
  <c r="AE40" i="1"/>
  <c r="BN40" i="1"/>
  <c r="CB47" i="1"/>
  <c r="CB49" i="1"/>
  <c r="CB61" i="1"/>
  <c r="P66" i="1"/>
  <c r="BB75" i="1"/>
  <c r="CB75" i="1"/>
  <c r="BF77" i="1"/>
  <c r="BN77" i="1"/>
  <c r="CO93" i="1"/>
  <c r="W96" i="1"/>
  <c r="AN96" i="1"/>
  <c r="BU96" i="1"/>
  <c r="BY96" i="1"/>
  <c r="CD96" i="1"/>
  <c r="CE97" i="1"/>
  <c r="I104" i="1"/>
  <c r="BB104" i="1"/>
  <c r="CK104" i="1"/>
  <c r="U118" i="1"/>
  <c r="BB118" i="1"/>
  <c r="CB118" i="1"/>
  <c r="BB126" i="1"/>
  <c r="BK126" i="1"/>
  <c r="CK130" i="1"/>
  <c r="CE132" i="1"/>
  <c r="P134" i="1"/>
  <c r="BF134" i="1"/>
  <c r="BN134" i="1"/>
  <c r="CE134" i="1"/>
  <c r="BF139" i="1"/>
  <c r="P143" i="1"/>
  <c r="AE143" i="1"/>
  <c r="P146" i="1"/>
  <c r="BF146" i="1"/>
  <c r="CE146" i="1"/>
  <c r="BN156" i="1"/>
  <c r="AW161" i="1"/>
  <c r="P162" i="1"/>
  <c r="BF162" i="1"/>
  <c r="BN162" i="1"/>
  <c r="CE156" i="1"/>
  <c r="CK82" i="1"/>
  <c r="I40" i="1"/>
  <c r="U40" i="1"/>
  <c r="BB40" i="1"/>
  <c r="BK40" i="1"/>
  <c r="CB40" i="1"/>
  <c r="CK40" i="1"/>
  <c r="CB42" i="1"/>
  <c r="I45" i="1"/>
  <c r="I51" i="1"/>
  <c r="I53" i="1"/>
  <c r="I56" i="1"/>
  <c r="AO58" i="1"/>
  <c r="BB66" i="1"/>
  <c r="CK66" i="1"/>
  <c r="BB73" i="1"/>
  <c r="CB77" i="1"/>
  <c r="BK79" i="1"/>
  <c r="AE82" i="1"/>
  <c r="G93" i="1"/>
  <c r="AK93" i="1"/>
  <c r="AO93" i="1"/>
  <c r="I94" i="1"/>
  <c r="I97" i="1"/>
  <c r="U97" i="1"/>
  <c r="BK97" i="1"/>
  <c r="CB97" i="1"/>
  <c r="CK97" i="1"/>
  <c r="CE104" i="1"/>
  <c r="BK110" i="1"/>
  <c r="BF115" i="1"/>
  <c r="BN115" i="1"/>
  <c r="CE115" i="1"/>
  <c r="BN118" i="1"/>
  <c r="BF126" i="1"/>
  <c r="CK132" i="1"/>
  <c r="CB134" i="1"/>
  <c r="U139" i="1"/>
  <c r="CK139" i="1"/>
  <c r="BB164" i="1"/>
  <c r="I170" i="1"/>
  <c r="BF170" i="1"/>
  <c r="CE170" i="1"/>
  <c r="CB172" i="1"/>
  <c r="I177" i="1"/>
  <c r="U177" i="1"/>
  <c r="BB177" i="1"/>
  <c r="BK177" i="1"/>
  <c r="CB177" i="1"/>
  <c r="BF181" i="1"/>
  <c r="I183" i="1"/>
  <c r="BB183" i="1"/>
  <c r="CB183" i="1"/>
  <c r="CK185" i="1"/>
  <c r="CB187" i="1"/>
  <c r="BB231" i="1"/>
  <c r="F233" i="1"/>
  <c r="BA233" i="1"/>
  <c r="CA233" i="1"/>
  <c r="BA234" i="1"/>
  <c r="BA236" i="1"/>
  <c r="BA237" i="1"/>
  <c r="BA238" i="1"/>
  <c r="BA239" i="1"/>
  <c r="BA240" i="1"/>
  <c r="BA242" i="1"/>
  <c r="CA243" i="1"/>
  <c r="F245" i="1"/>
  <c r="F246" i="1"/>
  <c r="CA246" i="1"/>
  <c r="F247" i="1"/>
  <c r="BA247" i="1"/>
  <c r="CA247" i="1"/>
  <c r="BA248" i="1"/>
  <c r="CA249" i="1"/>
  <c r="BA250" i="1"/>
  <c r="CA251" i="1"/>
  <c r="CA252" i="1"/>
  <c r="CA253" i="1"/>
  <c r="BA255" i="1"/>
  <c r="BN231" i="1"/>
  <c r="P256" i="1"/>
  <c r="BF256" i="1"/>
  <c r="BA259" i="1"/>
  <c r="CA259" i="1"/>
  <c r="BA260" i="1"/>
  <c r="F263" i="1"/>
  <c r="CA263" i="1"/>
  <c r="F264" i="1"/>
  <c r="CA264" i="1"/>
  <c r="F269" i="1"/>
  <c r="BA269" i="1"/>
  <c r="CA269" i="1"/>
  <c r="F271" i="1"/>
  <c r="AE270" i="1"/>
  <c r="BA271" i="1"/>
  <c r="BN270" i="1"/>
  <c r="P272" i="1"/>
  <c r="AE272" i="1"/>
  <c r="BF272" i="1"/>
  <c r="CE272" i="1"/>
  <c r="H274" i="1"/>
  <c r="K274" i="1"/>
  <c r="M274" i="1"/>
  <c r="O274" i="1"/>
  <c r="R274" i="1"/>
  <c r="W274" i="1"/>
  <c r="Y274" i="1"/>
  <c r="AA274" i="1"/>
  <c r="AC274" i="1"/>
  <c r="AF274" i="1"/>
  <c r="AH274" i="1"/>
  <c r="AJ274" i="1"/>
  <c r="AL274" i="1"/>
  <c r="AN274" i="1"/>
  <c r="AR274" i="1"/>
  <c r="AT274" i="1"/>
  <c r="AZ274" i="1"/>
  <c r="BD274" i="1"/>
  <c r="BG274" i="1"/>
  <c r="BH274" i="1"/>
  <c r="BO274" i="1"/>
  <c r="BQ274" i="1"/>
  <c r="BU274" i="1"/>
  <c r="BW274" i="1"/>
  <c r="BY274" i="1"/>
  <c r="CM274" i="1"/>
  <c r="CO274" i="1"/>
  <c r="P275" i="1"/>
  <c r="BF275" i="1"/>
  <c r="BN275" i="1"/>
  <c r="CE275" i="1"/>
  <c r="Y277" i="1"/>
  <c r="AF277" i="1"/>
  <c r="I290" i="1"/>
  <c r="U290" i="1"/>
  <c r="BB290" i="1"/>
  <c r="CB290" i="1"/>
  <c r="CK290" i="1"/>
  <c r="CA293" i="1"/>
  <c r="P295" i="1"/>
  <c r="BF295" i="1"/>
  <c r="I297" i="1"/>
  <c r="U297" i="1"/>
  <c r="BB297" i="1"/>
  <c r="CA298" i="1"/>
  <c r="I299" i="1"/>
  <c r="U299" i="1"/>
  <c r="BB299" i="1"/>
  <c r="BK299" i="1"/>
  <c r="CA300" i="1"/>
  <c r="AM277" i="1"/>
  <c r="I301" i="1"/>
  <c r="BK301" i="1"/>
  <c r="CB301" i="1"/>
  <c r="CK301" i="1"/>
  <c r="BO277" i="1"/>
  <c r="BW277" i="1"/>
  <c r="BB303" i="1"/>
  <c r="CA304" i="1"/>
  <c r="CK303" i="1"/>
  <c r="F111" i="1"/>
  <c r="BA154" i="1"/>
  <c r="I197" i="1"/>
  <c r="CA206" i="1"/>
  <c r="CK197" i="1"/>
  <c r="CE231" i="1"/>
  <c r="G81" i="1"/>
  <c r="T81" i="1"/>
  <c r="CK126" i="1"/>
  <c r="O153" i="1"/>
  <c r="F293" i="1"/>
  <c r="F273" i="1"/>
  <c r="BB209" i="1"/>
  <c r="BB170" i="1"/>
  <c r="CA291" i="1"/>
  <c r="F298" i="1"/>
  <c r="CB189" i="1"/>
  <c r="BA198" i="1"/>
  <c r="BA293" i="1"/>
  <c r="F276" i="1"/>
  <c r="N19" i="1"/>
  <c r="AE32" i="1"/>
  <c r="Z81" i="1"/>
  <c r="BP81" i="1"/>
  <c r="BR81" i="1"/>
  <c r="I110" i="1"/>
  <c r="U110" i="1"/>
  <c r="BN110" i="1"/>
  <c r="AF106" i="1"/>
  <c r="BD106" i="1"/>
  <c r="BW106" i="1"/>
  <c r="CD106" i="1"/>
  <c r="CM106" i="1"/>
  <c r="P115" i="1"/>
  <c r="L106" i="1"/>
  <c r="AD106" i="1"/>
  <c r="AI106" i="1"/>
  <c r="BP106" i="1"/>
  <c r="BB115" i="1"/>
  <c r="BK115" i="1"/>
  <c r="CK115" i="1"/>
  <c r="P122" i="1"/>
  <c r="BA141" i="1"/>
  <c r="F144" i="1"/>
  <c r="BA145" i="1"/>
  <c r="BB213" i="1"/>
  <c r="P177" i="1"/>
  <c r="I147" i="1"/>
  <c r="CA148" i="1"/>
  <c r="F151" i="1"/>
  <c r="BA151" i="1"/>
  <c r="BN153" i="1"/>
  <c r="CA155" i="1"/>
  <c r="AJ161" i="1"/>
  <c r="CM161" i="1"/>
  <c r="BA169" i="1"/>
  <c r="AO161" i="1"/>
  <c r="CA176" i="1"/>
  <c r="CA179" i="1"/>
  <c r="CA182" i="1"/>
  <c r="BO58" i="1"/>
  <c r="BR117" i="1"/>
  <c r="BA120" i="1"/>
  <c r="BA125" i="1"/>
  <c r="CA137" i="1"/>
  <c r="CA145" i="1"/>
  <c r="I165" i="1"/>
  <c r="H189" i="1"/>
  <c r="BU138" i="1"/>
  <c r="F131" i="1"/>
  <c r="BA144" i="1"/>
  <c r="F169" i="1"/>
  <c r="CD58" i="1"/>
  <c r="CA68" i="1"/>
  <c r="F74" i="1"/>
  <c r="BA84" i="1"/>
  <c r="CA84" i="1"/>
  <c r="AG117" i="1"/>
  <c r="BL117" i="1"/>
  <c r="BA123" i="1"/>
  <c r="BK156" i="1"/>
  <c r="BU161" i="1"/>
  <c r="Y58" i="1"/>
  <c r="BF143" i="1"/>
  <c r="CE35" i="1"/>
  <c r="BS58" i="1"/>
  <c r="BW58" i="1"/>
  <c r="BY58" i="1"/>
  <c r="BA72" i="1"/>
  <c r="CA76" i="1"/>
  <c r="CA87" i="1"/>
  <c r="CA90" i="1"/>
  <c r="BA108" i="1"/>
  <c r="CA108" i="1"/>
  <c r="BA121" i="1"/>
  <c r="CA128" i="1"/>
  <c r="CA133" i="1"/>
  <c r="BX138" i="1"/>
  <c r="BA150" i="1"/>
  <c r="BA179" i="1"/>
  <c r="AM174" i="1"/>
  <c r="CB59" i="1"/>
  <c r="CA60" i="1"/>
  <c r="BF94" i="1"/>
  <c r="BA95" i="1"/>
  <c r="CE143" i="1"/>
  <c r="CA144" i="1"/>
  <c r="BB97" i="1"/>
  <c r="CA57" i="1"/>
  <c r="X277" i="1"/>
  <c r="BE277" i="1"/>
  <c r="BQ277" i="1"/>
  <c r="BU277" i="1"/>
  <c r="BY277" i="1"/>
  <c r="CF277" i="1"/>
  <c r="U126" i="1"/>
  <c r="BA176" i="1"/>
  <c r="I189" i="1"/>
  <c r="F241" i="1"/>
  <c r="F242" i="1"/>
  <c r="CD44" i="1"/>
  <c r="Z58" i="1"/>
  <c r="AK58" i="1"/>
  <c r="BI58" i="1"/>
  <c r="CA80" i="1"/>
  <c r="BQ81" i="1"/>
  <c r="AI81" i="1"/>
  <c r="AW81" i="1"/>
  <c r="F108" i="1"/>
  <c r="AH117" i="1"/>
  <c r="BA119" i="1"/>
  <c r="F121" i="1"/>
  <c r="AE124" i="1"/>
  <c r="CF117" i="1"/>
  <c r="M138" i="1"/>
  <c r="AL138" i="1"/>
  <c r="AM161" i="1"/>
  <c r="AS161" i="1"/>
  <c r="BC161" i="1"/>
  <c r="BP161" i="1"/>
  <c r="AG161" i="1"/>
  <c r="F168" i="1"/>
  <c r="BY161" i="1"/>
  <c r="BP174" i="1"/>
  <c r="F179" i="1"/>
  <c r="K174" i="1"/>
  <c r="BG174" i="1"/>
  <c r="F211" i="1"/>
  <c r="F265" i="1"/>
  <c r="F291" i="1"/>
  <c r="AN277" i="1"/>
  <c r="BP277" i="1"/>
  <c r="V106" i="1"/>
  <c r="AW106" i="1"/>
  <c r="BO106" i="1"/>
  <c r="F253" i="1"/>
  <c r="W63" i="1"/>
  <c r="T44" i="1"/>
  <c r="CB56" i="1"/>
  <c r="N58" i="1"/>
  <c r="S58" i="1"/>
  <c r="BO63" i="1"/>
  <c r="I64" i="1"/>
  <c r="U66" i="1"/>
  <c r="CA70" i="1"/>
  <c r="I73" i="1"/>
  <c r="I77" i="1"/>
  <c r="AL81" i="1"/>
  <c r="BS81" i="1"/>
  <c r="BY81" i="1"/>
  <c r="L81" i="1"/>
  <c r="V81" i="1"/>
  <c r="AD81" i="1"/>
  <c r="AM81" i="1"/>
  <c r="AS81" i="1"/>
  <c r="BC81" i="1"/>
  <c r="BL81" i="1"/>
  <c r="BV81" i="1"/>
  <c r="W93" i="1"/>
  <c r="AC93" i="1"/>
  <c r="CD93" i="1"/>
  <c r="U94" i="1"/>
  <c r="BK94" i="1"/>
  <c r="CB94" i="1"/>
  <c r="AB96" i="1"/>
  <c r="BI96" i="1"/>
  <c r="CF96" i="1"/>
  <c r="BN104" i="1"/>
  <c r="AE110" i="1"/>
  <c r="CK110" i="1"/>
  <c r="G106" i="1"/>
  <c r="J106" i="1"/>
  <c r="N106" i="1"/>
  <c r="S106" i="1"/>
  <c r="X106" i="1"/>
  <c r="AB106" i="1"/>
  <c r="AG106" i="1"/>
  <c r="AM106" i="1"/>
  <c r="AQ106" i="1"/>
  <c r="AX106" i="1"/>
  <c r="BI106" i="1"/>
  <c r="BL106" i="1"/>
  <c r="BR106" i="1"/>
  <c r="BT106" i="1"/>
  <c r="BX106" i="1"/>
  <c r="CB115" i="1"/>
  <c r="W117" i="1"/>
  <c r="AF117" i="1"/>
  <c r="AV117" i="1"/>
  <c r="BD117" i="1"/>
  <c r="BW117" i="1"/>
  <c r="AE118" i="1"/>
  <c r="CA120" i="1"/>
  <c r="CA121" i="1"/>
  <c r="CB124" i="1"/>
  <c r="BN126" i="1"/>
  <c r="F128" i="1"/>
  <c r="P130" i="1"/>
  <c r="BF130" i="1"/>
  <c r="BN130" i="1"/>
  <c r="CE130" i="1"/>
  <c r="CK134" i="1"/>
  <c r="BA136" i="1"/>
  <c r="AK138" i="1"/>
  <c r="BE138" i="1"/>
  <c r="CI138" i="1"/>
  <c r="CM138" i="1"/>
  <c r="CO138" i="1"/>
  <c r="CE139" i="1"/>
  <c r="K138" i="1"/>
  <c r="T138" i="1"/>
  <c r="AA138" i="1"/>
  <c r="BW138" i="1"/>
  <c r="U143" i="1"/>
  <c r="F145" i="1"/>
  <c r="BA149" i="1"/>
  <c r="CA150" i="1"/>
  <c r="BK153" i="1"/>
  <c r="BI161" i="1"/>
  <c r="BA163" i="1"/>
  <c r="CK162" i="1"/>
  <c r="CN161" i="1"/>
  <c r="P164" i="1"/>
  <c r="BF164" i="1"/>
  <c r="BA166" i="1"/>
  <c r="CI161" i="1"/>
  <c r="P167" i="1"/>
  <c r="BF167" i="1"/>
  <c r="BN167" i="1"/>
  <c r="CE167" i="1"/>
  <c r="P170" i="1"/>
  <c r="BK170" i="1"/>
  <c r="CA171" i="1"/>
  <c r="CK170" i="1"/>
  <c r="CK172" i="1"/>
  <c r="F176" i="1"/>
  <c r="BA178" i="1"/>
  <c r="BN177" i="1"/>
  <c r="CE177" i="1"/>
  <c r="F180" i="1"/>
  <c r="W174" i="1"/>
  <c r="AF174" i="1"/>
  <c r="F182" i="1"/>
  <c r="BB181" i="1"/>
  <c r="BK181" i="1"/>
  <c r="P183" i="1"/>
  <c r="F184" i="1"/>
  <c r="BF183" i="1"/>
  <c r="CE183" i="1"/>
  <c r="U185" i="1"/>
  <c r="BK185" i="1"/>
  <c r="I187" i="1"/>
  <c r="BB187" i="1"/>
  <c r="BK187" i="1"/>
  <c r="CK187" i="1"/>
  <c r="P189" i="1"/>
  <c r="BK189" i="1"/>
  <c r="U189" i="1"/>
  <c r="CE189" i="1"/>
  <c r="F193" i="1"/>
  <c r="CA193" i="1"/>
  <c r="CA194" i="1"/>
  <c r="BA196" i="1"/>
  <c r="CE197" i="1"/>
  <c r="BA199" i="1"/>
  <c r="CA201" i="1"/>
  <c r="BA203" i="1"/>
  <c r="CA205" i="1"/>
  <c r="G208" i="1"/>
  <c r="L208" i="1"/>
  <c r="Q208" i="1"/>
  <c r="V208" i="1"/>
  <c r="X208" i="1"/>
  <c r="AD208" i="1"/>
  <c r="AG208" i="1"/>
  <c r="AI208" i="1"/>
  <c r="AO208" i="1"/>
  <c r="AQ208" i="1"/>
  <c r="AS208" i="1"/>
  <c r="AW208" i="1"/>
  <c r="BC208" i="1"/>
  <c r="BL208" i="1"/>
  <c r="BR208" i="1"/>
  <c r="BV208" i="1"/>
  <c r="BX208" i="1"/>
  <c r="CI208" i="1"/>
  <c r="CM208" i="1"/>
  <c r="P209" i="1"/>
  <c r="F214" i="1"/>
  <c r="BB197" i="1"/>
  <c r="F175" i="1"/>
  <c r="F173" i="1"/>
  <c r="CA169" i="1"/>
  <c r="CC161" i="1"/>
  <c r="CB156" i="1"/>
  <c r="F198" i="1"/>
  <c r="BB156" i="1"/>
  <c r="J146" i="1"/>
  <c r="BB143" i="1"/>
  <c r="CB143" i="1"/>
  <c r="I143" i="1"/>
  <c r="BN139" i="1"/>
  <c r="F95" i="1"/>
  <c r="F83" i="1"/>
  <c r="CB66" i="1"/>
  <c r="I66" i="1"/>
  <c r="BB82" i="1"/>
  <c r="BB59" i="1"/>
  <c r="K35" i="1"/>
  <c r="AZ35" i="1"/>
  <c r="BF209" i="1"/>
  <c r="CE209" i="1"/>
  <c r="BA207" i="1"/>
  <c r="AE197" i="1"/>
  <c r="J174" i="1"/>
  <c r="BA202" i="1"/>
  <c r="CA200" i="1"/>
  <c r="BN197" i="1"/>
  <c r="BW174" i="1"/>
  <c r="BA188" i="1"/>
  <c r="BA184" i="1"/>
  <c r="BA180" i="1"/>
  <c r="AE177" i="1"/>
  <c r="AE167" i="1"/>
  <c r="BE161" i="1"/>
  <c r="AX161" i="1"/>
  <c r="AU161" i="1"/>
  <c r="AQ161" i="1"/>
  <c r="CE164" i="1"/>
  <c r="AK161" i="1"/>
  <c r="S161" i="1"/>
  <c r="CA173" i="1"/>
  <c r="AD161" i="1"/>
  <c r="CA165" i="1"/>
  <c r="BF153" i="1"/>
  <c r="CA151" i="1"/>
  <c r="F150" i="1"/>
  <c r="CK146" i="1"/>
  <c r="BA148" i="1"/>
  <c r="BA147" i="1"/>
  <c r="CE126" i="1"/>
  <c r="BA127" i="1"/>
  <c r="BB122" i="1"/>
  <c r="P118" i="1"/>
  <c r="BA90" i="1"/>
  <c r="CK143" i="1"/>
  <c r="CE122" i="1"/>
  <c r="CA78" i="1"/>
  <c r="CA72" i="1"/>
  <c r="BB69" i="1"/>
  <c r="BK66" i="1"/>
  <c r="AF44" i="1"/>
  <c r="AS58" i="1"/>
  <c r="V58" i="1"/>
  <c r="CA31" i="1"/>
  <c r="I213" i="1"/>
  <c r="CA210" i="1"/>
  <c r="F196" i="1"/>
  <c r="F194" i="1"/>
  <c r="F192" i="1"/>
  <c r="F190" i="1"/>
  <c r="BB189" i="1"/>
  <c r="CA188" i="1"/>
  <c r="CA184" i="1"/>
  <c r="CA180" i="1"/>
  <c r="CA168" i="1"/>
  <c r="CA166" i="1"/>
  <c r="CB162" i="1"/>
  <c r="BA158" i="1"/>
  <c r="CA157" i="1"/>
  <c r="BB153" i="1"/>
  <c r="CA149" i="1"/>
  <c r="U134" i="1"/>
  <c r="CA98" i="1"/>
  <c r="BW161" i="1"/>
  <c r="BS161" i="1"/>
  <c r="BK143" i="1"/>
  <c r="CA136" i="1"/>
  <c r="BA129" i="1"/>
  <c r="BK122" i="1"/>
  <c r="CE118" i="1"/>
  <c r="BA116" i="1"/>
  <c r="CB64" i="1"/>
  <c r="CF58" i="1"/>
  <c r="AV58" i="1"/>
  <c r="AM58" i="1"/>
  <c r="AG58" i="1"/>
  <c r="BP44" i="1"/>
  <c r="I115" i="1"/>
  <c r="U115" i="1"/>
  <c r="BA211" i="1"/>
  <c r="BA204" i="1"/>
  <c r="P197" i="1"/>
  <c r="CA195" i="1"/>
  <c r="BE174" i="1"/>
  <c r="CA175" i="1"/>
  <c r="F148" i="1"/>
  <c r="X174" i="1"/>
  <c r="CA119" i="1"/>
  <c r="CA116" i="1"/>
  <c r="BC106" i="1"/>
  <c r="CA95" i="1"/>
  <c r="O81" i="1"/>
  <c r="J58" i="1"/>
  <c r="CM58" i="1"/>
  <c r="X58" i="1"/>
  <c r="CD122" i="1"/>
  <c r="BO117" i="1"/>
  <c r="Z106" i="1"/>
  <c r="BE81" i="1"/>
  <c r="AQ81" i="1"/>
  <c r="BB51" i="1"/>
  <c r="CE153" i="1"/>
  <c r="F195" i="1"/>
  <c r="F191" i="1"/>
  <c r="CM174" i="1"/>
  <c r="AO106" i="1"/>
  <c r="Q106" i="1"/>
  <c r="BF177" i="1"/>
  <c r="F166" i="1"/>
  <c r="U146" i="1"/>
  <c r="CC138" i="1"/>
  <c r="F136" i="1"/>
  <c r="CA127" i="1"/>
  <c r="F127" i="1"/>
  <c r="BV106" i="1"/>
  <c r="BY138" i="1"/>
  <c r="BB134" i="1"/>
  <c r="CB110" i="1"/>
  <c r="F105" i="1"/>
  <c r="BU81" i="1"/>
  <c r="S81" i="1"/>
  <c r="AF63" i="1"/>
  <c r="Z174" i="1"/>
  <c r="AZ81" i="1"/>
  <c r="CA196" i="1"/>
  <c r="AB63" i="1"/>
  <c r="BB172" i="1"/>
  <c r="CA199" i="1"/>
  <c r="BA186" i="1"/>
  <c r="BV138" i="1"/>
  <c r="AK106" i="1"/>
  <c r="Z208" i="1"/>
  <c r="U172" i="1"/>
  <c r="AE130" i="1"/>
  <c r="P104" i="1"/>
  <c r="CO208" i="1"/>
  <c r="BP208" i="1"/>
  <c r="AE183" i="1"/>
  <c r="CB170" i="1"/>
  <c r="CK94" i="1"/>
  <c r="F48" i="1"/>
  <c r="CA48" i="1"/>
  <c r="F78" i="1"/>
  <c r="AE39" i="1"/>
  <c r="X44" i="1"/>
  <c r="BX44" i="1"/>
  <c r="X81" i="1"/>
  <c r="V12" i="1"/>
  <c r="N81" i="1"/>
  <c r="BQ44" i="1"/>
  <c r="F98" i="1"/>
  <c r="CA83" i="1"/>
  <c r="AO96" i="1"/>
  <c r="X96" i="1"/>
  <c r="BK132" i="1"/>
  <c r="BX96" i="1"/>
  <c r="BE96" i="1"/>
  <c r="BB94" i="1"/>
  <c r="U73" i="1"/>
  <c r="I38" i="1"/>
  <c r="BB35" i="1"/>
  <c r="AD58" i="1"/>
  <c r="J44" i="1"/>
  <c r="BD63" i="1"/>
  <c r="BT44" i="1"/>
  <c r="CA38" i="1"/>
  <c r="BB19" i="1"/>
  <c r="AR63" i="1"/>
  <c r="AX81" i="1"/>
  <c r="AW44" i="1"/>
  <c r="BS44" i="1"/>
  <c r="CD81" i="1"/>
  <c r="BW81" i="1"/>
  <c r="BO81" i="1"/>
  <c r="AP63" i="1"/>
  <c r="R58" i="1"/>
  <c r="W106" i="1"/>
  <c r="CA105" i="1"/>
  <c r="AK96" i="1"/>
  <c r="S96" i="1"/>
  <c r="BN143" i="1"/>
  <c r="U132" i="1"/>
  <c r="AE97" i="1"/>
  <c r="BT96" i="1"/>
  <c r="CB104" i="1"/>
  <c r="CB15" i="1"/>
  <c r="AN44" i="1"/>
  <c r="BR44" i="1"/>
  <c r="AB81" i="1"/>
  <c r="Y63" i="1"/>
  <c r="BI81" i="1"/>
  <c r="BX81" i="1"/>
  <c r="J81" i="1"/>
  <c r="AJ63" i="1"/>
  <c r="BS63" i="1"/>
  <c r="Q58" i="1"/>
  <c r="AG96" i="1"/>
  <c r="N96" i="1"/>
  <c r="BB130" i="1"/>
  <c r="BP96" i="1"/>
  <c r="AK81" i="1"/>
  <c r="CK73" i="1"/>
  <c r="BI138" i="1"/>
  <c r="Z138" i="1"/>
  <c r="CE301" i="1"/>
  <c r="AN63" i="1"/>
  <c r="CA67" i="1"/>
  <c r="AQ96" i="1"/>
  <c r="AW96" i="1"/>
  <c r="CO96" i="1"/>
  <c r="BA98" i="1"/>
  <c r="U104" i="1"/>
  <c r="BB132" i="1"/>
  <c r="CB132" i="1"/>
  <c r="BA168" i="1"/>
  <c r="BN170" i="1"/>
  <c r="CA190" i="1"/>
  <c r="BA200" i="1"/>
  <c r="BA201" i="1"/>
  <c r="J208" i="1"/>
  <c r="S208" i="1"/>
  <c r="AB208" i="1"/>
  <c r="AK208" i="1"/>
  <c r="BE208" i="1"/>
  <c r="BT208" i="1"/>
  <c r="CF208" i="1"/>
  <c r="AE209" i="1"/>
  <c r="F210" i="1"/>
  <c r="F219" i="1"/>
  <c r="BA221" i="1"/>
  <c r="CD274" i="1"/>
  <c r="CB275" i="1"/>
  <c r="CA276" i="1"/>
  <c r="CA287" i="1"/>
  <c r="BN290" i="1"/>
  <c r="BN295" i="1"/>
  <c r="S277" i="1"/>
  <c r="BA298" i="1"/>
  <c r="BF297" i="1"/>
  <c r="L58" i="1"/>
  <c r="BL58" i="1"/>
  <c r="CA91" i="1"/>
  <c r="S93" i="1"/>
  <c r="BP93" i="1"/>
  <c r="BT93" i="1"/>
  <c r="BY117" i="1"/>
  <c r="BF122" i="1"/>
  <c r="AK122" i="1"/>
  <c r="BA128" i="1"/>
  <c r="P156" i="1"/>
  <c r="BA157" i="1"/>
  <c r="BN164" i="1"/>
  <c r="BK183" i="1"/>
  <c r="CK183" i="1"/>
  <c r="CO174" i="1"/>
  <c r="F186" i="1"/>
  <c r="AN174" i="1"/>
  <c r="F188" i="1"/>
  <c r="BF187" i="1"/>
  <c r="P270" i="1"/>
  <c r="CE270" i="1"/>
  <c r="AQ274" i="1"/>
  <c r="BP274" i="1"/>
  <c r="CE75" i="1"/>
  <c r="BK77" i="1"/>
  <c r="BK118" i="1"/>
  <c r="CK118" i="1"/>
  <c r="BA155" i="1"/>
  <c r="CK181" i="1"/>
  <c r="U181" i="1"/>
  <c r="CA235" i="1"/>
  <c r="F237" i="1"/>
  <c r="BA251" i="1"/>
  <c r="G45" i="1"/>
  <c r="G75" i="1"/>
  <c r="G97" i="1"/>
  <c r="BN182" i="1"/>
  <c r="BY189" i="1"/>
  <c r="AC231" i="1"/>
  <c r="AS106" i="1"/>
  <c r="Y19" i="1"/>
  <c r="AZ19" i="1"/>
  <c r="G35" i="1"/>
  <c r="G49" i="1"/>
  <c r="G61" i="1"/>
  <c r="G69" i="1"/>
  <c r="G79" i="1"/>
  <c r="G118" i="1"/>
  <c r="G122" i="1"/>
  <c r="AR153" i="1"/>
  <c r="CD153" i="1"/>
  <c r="H167" i="1"/>
  <c r="J231" i="1"/>
  <c r="BX19" i="1"/>
  <c r="H19" i="1"/>
  <c r="G33" i="1"/>
  <c r="G130" i="1"/>
  <c r="G139" i="1"/>
  <c r="X153" i="1"/>
  <c r="H177" i="1"/>
  <c r="BX181" i="1"/>
  <c r="CA24" i="1"/>
  <c r="BA14" i="1"/>
  <c r="F34" i="1"/>
  <c r="F43" i="1"/>
  <c r="CA46" i="1"/>
  <c r="F50" i="1"/>
  <c r="CA50" i="1"/>
  <c r="F52" i="1"/>
  <c r="CA52" i="1"/>
  <c r="F54" i="1"/>
  <c r="CA54" i="1"/>
  <c r="BA60" i="1"/>
  <c r="BA65" i="1"/>
  <c r="BB301" i="1"/>
  <c r="BA70" i="1"/>
  <c r="AV63" i="1"/>
  <c r="BQ58" i="1"/>
  <c r="M44" i="1"/>
  <c r="AA12" i="1"/>
  <c r="BW44" i="1"/>
  <c r="O44" i="1"/>
  <c r="CF63" i="1"/>
  <c r="AK44" i="1"/>
  <c r="CD19" i="1"/>
  <c r="CA34" i="1"/>
  <c r="F62" i="1"/>
  <c r="AS44" i="1"/>
  <c r="AD44" i="1"/>
  <c r="F37" i="1"/>
  <c r="AL58" i="1"/>
  <c r="R44" i="1"/>
  <c r="F28" i="1"/>
  <c r="AZ44" i="1"/>
  <c r="AR58" i="1"/>
  <c r="W58" i="1"/>
  <c r="BN35" i="1"/>
  <c r="AQ44" i="1"/>
  <c r="AJ44" i="1"/>
  <c r="AB44" i="1"/>
  <c r="AH58" i="1"/>
  <c r="N44" i="1"/>
  <c r="BA31" i="1"/>
  <c r="CI58" i="1"/>
  <c r="AZ58" i="1"/>
  <c r="AC58" i="1"/>
  <c r="BV44" i="1"/>
  <c r="BD44" i="1"/>
  <c r="BQ63" i="1"/>
  <c r="O63" i="1"/>
  <c r="F57" i="1"/>
  <c r="CC44" i="1"/>
  <c r="CA32" i="1"/>
  <c r="BO44" i="1"/>
  <c r="BT63" i="1"/>
  <c r="AL44" i="1"/>
  <c r="V44" i="1"/>
  <c r="BB61" i="1"/>
  <c r="F67" i="1"/>
  <c r="BA68" i="1"/>
  <c r="F36" i="1"/>
  <c r="CB69" i="1"/>
  <c r="BN66" i="1"/>
  <c r="AP44" i="1"/>
  <c r="AH44" i="1"/>
  <c r="Z44" i="1"/>
  <c r="CA39" i="1"/>
  <c r="L44" i="1"/>
  <c r="CK35" i="1"/>
  <c r="BA30" i="1"/>
  <c r="AV44" i="1"/>
  <c r="AA58" i="1"/>
  <c r="BL12" i="1"/>
  <c r="AZ63" i="1"/>
  <c r="AC63" i="1"/>
  <c r="CA62" i="1"/>
  <c r="CO58" i="1"/>
  <c r="M58" i="1"/>
  <c r="BG44" i="1"/>
  <c r="AJ12" i="1"/>
  <c r="BA67" i="1"/>
  <c r="AW63" i="1"/>
  <c r="I162" i="1"/>
  <c r="CC12" i="1"/>
  <c r="BA34" i="1"/>
  <c r="BD12" i="1"/>
  <c r="BA32" i="1"/>
  <c r="T12" i="1"/>
  <c r="BB33" i="1"/>
  <c r="CA21" i="1"/>
  <c r="CO12" i="1"/>
  <c r="M12" i="1"/>
  <c r="AM44" i="1"/>
  <c r="CI44" i="1"/>
  <c r="CA37" i="1"/>
  <c r="BH44" i="1"/>
  <c r="BA28" i="1"/>
  <c r="CD161" i="1"/>
  <c r="F24" i="1"/>
  <c r="BB15" i="1"/>
  <c r="CA29" i="1"/>
  <c r="BS12" i="1"/>
  <c r="W44" i="1"/>
  <c r="I47" i="1"/>
  <c r="I15" i="1"/>
  <c r="CM44" i="1"/>
  <c r="CO44" i="1"/>
  <c r="BR12" i="1"/>
  <c r="AG44" i="1"/>
  <c r="O19" i="1"/>
  <c r="AZ146" i="1"/>
  <c r="CB181" i="1"/>
  <c r="P303" i="1"/>
  <c r="AE56" i="1"/>
  <c r="AS146" i="1"/>
  <c r="BK172" i="1"/>
  <c r="CE297" i="1"/>
  <c r="CA14" i="1"/>
  <c r="CB254" i="1"/>
  <c r="AV277" i="1"/>
  <c r="BA24" i="1"/>
  <c r="AH19" i="1"/>
  <c r="F29" i="1"/>
  <c r="BA21" i="1"/>
  <c r="BO12" i="1"/>
  <c r="AL12" i="1"/>
  <c r="X12" i="1"/>
  <c r="BY44" i="1"/>
  <c r="AI44" i="1"/>
  <c r="CF44" i="1"/>
  <c r="F31" i="1"/>
  <c r="CA36" i="1"/>
  <c r="AO44" i="1"/>
  <c r="S44" i="1"/>
  <c r="BK297" i="1"/>
  <c r="I13" i="1"/>
  <c r="F25" i="1"/>
  <c r="CA23" i="1"/>
  <c r="BH12" i="1"/>
  <c r="AE30" i="1"/>
  <c r="BA22" i="1"/>
  <c r="BA17" i="1"/>
  <c r="BW12" i="1"/>
  <c r="BC12" i="1"/>
  <c r="AF12" i="1"/>
  <c r="Q12" i="1"/>
  <c r="AA44" i="1"/>
  <c r="BC44" i="1"/>
  <c r="AC12" i="1"/>
  <c r="F14" i="1"/>
  <c r="CA16" i="1"/>
  <c r="AE17" i="1"/>
  <c r="CE299" i="1"/>
  <c r="AE254" i="1"/>
  <c r="BA20" i="1"/>
  <c r="BF75" i="1"/>
  <c r="P139" i="1"/>
  <c r="CK59" i="1"/>
  <c r="U61" i="1"/>
  <c r="L12" i="1"/>
  <c r="CA20" i="1"/>
  <c r="P15" i="1"/>
  <c r="BU12" i="1"/>
  <c r="BT12" i="1"/>
  <c r="BI12" i="1"/>
  <c r="F20" i="1"/>
  <c r="BA26" i="1"/>
  <c r="BF69" i="1"/>
  <c r="CA18" i="1"/>
  <c r="J12" i="1"/>
  <c r="AG12" i="1"/>
  <c r="CF12" i="1"/>
  <c r="CM12" i="1"/>
  <c r="BE12" i="1"/>
  <c r="AN12" i="1"/>
  <c r="BP12" i="1"/>
  <c r="S12" i="1"/>
  <c r="CK15" i="1"/>
  <c r="BV58" i="1"/>
  <c r="CE59" i="1"/>
  <c r="AE61" i="1"/>
  <c r="AE69" i="1"/>
  <c r="BA18" i="1"/>
  <c r="BG12" i="1"/>
  <c r="BY12" i="1"/>
  <c r="BQ12" i="1"/>
  <c r="AB12" i="1"/>
  <c r="BK15" i="1"/>
  <c r="AE13" i="1"/>
  <c r="BN13" i="1"/>
  <c r="CE15" i="1"/>
  <c r="AX15" i="1"/>
  <c r="BF19" i="1"/>
  <c r="BA25" i="1"/>
  <c r="BA27" i="1"/>
  <c r="I30" i="1"/>
  <c r="AI19" i="1"/>
  <c r="U33" i="1"/>
  <c r="BK33" i="1"/>
  <c r="CK33" i="1"/>
  <c r="AE42" i="1"/>
  <c r="BN42" i="1"/>
  <c r="BB45" i="1"/>
  <c r="CB45" i="1"/>
  <c r="P47" i="1"/>
  <c r="BF47" i="1"/>
  <c r="CE47" i="1"/>
  <c r="U49" i="1"/>
  <c r="BK49" i="1"/>
  <c r="Y44" i="1"/>
  <c r="AC44" i="1"/>
  <c r="CB51" i="1"/>
  <c r="AE53" i="1"/>
  <c r="BN53" i="1"/>
  <c r="BB56" i="1"/>
  <c r="AB58" i="1"/>
  <c r="AX58" i="1"/>
  <c r="BE58" i="1"/>
  <c r="CC58" i="1"/>
  <c r="P59" i="1"/>
  <c r="BF59" i="1"/>
  <c r="P61" i="1"/>
  <c r="BB64" i="1"/>
  <c r="P69" i="1"/>
  <c r="CE69" i="1"/>
  <c r="U71" i="1"/>
  <c r="BB71" i="1"/>
  <c r="BN71" i="1"/>
  <c r="AL63" i="1"/>
  <c r="P73" i="1"/>
  <c r="CE73" i="1"/>
  <c r="U75" i="1"/>
  <c r="BK75" i="1"/>
  <c r="CK75" i="1"/>
  <c r="AE77" i="1"/>
  <c r="P79" i="1"/>
  <c r="CE79" i="1"/>
  <c r="K93" i="1"/>
  <c r="O93" i="1"/>
  <c r="T93" i="1"/>
  <c r="Y93" i="1"/>
  <c r="AH93" i="1"/>
  <c r="AL93" i="1"/>
  <c r="AP93" i="1"/>
  <c r="AV93" i="1"/>
  <c r="AZ93" i="1"/>
  <c r="BG93" i="1"/>
  <c r="BQ93" i="1"/>
  <c r="BU93" i="1"/>
  <c r="BY93" i="1"/>
  <c r="BW96" i="1"/>
  <c r="L96" i="1"/>
  <c r="Q96" i="1"/>
  <c r="V96" i="1"/>
  <c r="Z96" i="1"/>
  <c r="AD96" i="1"/>
  <c r="AI96" i="1"/>
  <c r="AM96" i="1"/>
  <c r="BC96" i="1"/>
  <c r="BL96" i="1"/>
  <c r="BR96" i="1"/>
  <c r="BV96" i="1"/>
  <c r="CC96" i="1"/>
  <c r="CI96" i="1"/>
  <c r="CM96" i="1"/>
  <c r="P97" i="1"/>
  <c r="BF97" i="1"/>
  <c r="P107" i="1"/>
  <c r="BF107" i="1"/>
  <c r="CE107" i="1"/>
  <c r="P110" i="1"/>
  <c r="BF110" i="1"/>
  <c r="CE110" i="1"/>
  <c r="AN106" i="1"/>
  <c r="BS106" i="1"/>
  <c r="CC106" i="1"/>
  <c r="CI106" i="1"/>
  <c r="CO106" i="1"/>
  <c r="M117" i="1"/>
  <c r="R117" i="1"/>
  <c r="AA117" i="1"/>
  <c r="AN117" i="1"/>
  <c r="AR117" i="1"/>
  <c r="BH117" i="1"/>
  <c r="BS117" i="1"/>
  <c r="BF118" i="1"/>
  <c r="S117" i="1"/>
  <c r="X117" i="1"/>
  <c r="AB117" i="1"/>
  <c r="AO117" i="1"/>
  <c r="AX117" i="1"/>
  <c r="BE117" i="1"/>
  <c r="BI117" i="1"/>
  <c r="BP117" i="1"/>
  <c r="BT117" i="1"/>
  <c r="CA123" i="1"/>
  <c r="AJ122" i="1"/>
  <c r="AE132" i="1"/>
  <c r="BN132" i="1"/>
  <c r="CA135" i="1"/>
  <c r="F137" i="1"/>
  <c r="CB147" i="1"/>
  <c r="CB185" i="1"/>
  <c r="K208" i="1"/>
  <c r="O208" i="1"/>
  <c r="T208" i="1"/>
  <c r="Y208" i="1"/>
  <c r="AC208" i="1"/>
  <c r="AH208" i="1"/>
  <c r="AL208" i="1"/>
  <c r="AP208" i="1"/>
  <c r="AV208" i="1"/>
  <c r="BG208" i="1"/>
  <c r="BQ208" i="1"/>
  <c r="BU208" i="1"/>
  <c r="BY208" i="1"/>
  <c r="K218" i="1"/>
  <c r="S218" i="1"/>
  <c r="AF218" i="1"/>
  <c r="AM218" i="1"/>
  <c r="AQ218" i="1"/>
  <c r="AU218" i="1"/>
  <c r="AX218" i="1"/>
  <c r="BG218" i="1"/>
  <c r="BQ218" i="1"/>
  <c r="BU218" i="1"/>
  <c r="BY218" i="1"/>
  <c r="CI218" i="1"/>
  <c r="J274" i="1"/>
  <c r="S274" i="1"/>
  <c r="X274" i="1"/>
  <c r="AB274" i="1"/>
  <c r="AK274" i="1"/>
  <c r="AO274" i="1"/>
  <c r="AS274" i="1"/>
  <c r="AW274" i="1"/>
  <c r="BC274" i="1"/>
  <c r="BL274" i="1"/>
  <c r="BR274" i="1"/>
  <c r="AE303" i="1"/>
  <c r="BA291" i="1"/>
  <c r="BB13" i="1"/>
  <c r="CB13" i="1"/>
  <c r="U16" i="1"/>
  <c r="AZ15" i="1"/>
  <c r="U26" i="1"/>
  <c r="AM19" i="1"/>
  <c r="AP19" i="1"/>
  <c r="AE33" i="1"/>
  <c r="BN33" i="1"/>
  <c r="U39" i="1"/>
  <c r="I42" i="1"/>
  <c r="BB42" i="1"/>
  <c r="BF45" i="1"/>
  <c r="U47" i="1"/>
  <c r="BK47" i="1"/>
  <c r="CK47" i="1"/>
  <c r="AE49" i="1"/>
  <c r="P51" i="1"/>
  <c r="BF51" i="1"/>
  <c r="CE51" i="1"/>
  <c r="BB53" i="1"/>
  <c r="CB53" i="1"/>
  <c r="P56" i="1"/>
  <c r="BF56" i="1"/>
  <c r="CE56" i="1"/>
  <c r="BP58" i="1"/>
  <c r="BT58" i="1"/>
  <c r="U59" i="1"/>
  <c r="BK59" i="1"/>
  <c r="P64" i="1"/>
  <c r="BF64" i="1"/>
  <c r="CE64" i="1"/>
  <c r="S63" i="1"/>
  <c r="U69" i="1"/>
  <c r="BK69" i="1"/>
  <c r="CK69" i="1"/>
  <c r="BK73" i="1"/>
  <c r="AE75" i="1"/>
  <c r="BN75" i="1"/>
  <c r="U79" i="1"/>
  <c r="CK79" i="1"/>
  <c r="AG81" i="1"/>
  <c r="AO81" i="1"/>
  <c r="BT81" i="1"/>
  <c r="CF81" i="1"/>
  <c r="L93" i="1"/>
  <c r="Q93" i="1"/>
  <c r="V93" i="1"/>
  <c r="Z93" i="1"/>
  <c r="AD93" i="1"/>
  <c r="AI93" i="1"/>
  <c r="AM93" i="1"/>
  <c r="AQ93" i="1"/>
  <c r="AW93" i="1"/>
  <c r="BC93" i="1"/>
  <c r="BL93" i="1"/>
  <c r="BR93" i="1"/>
  <c r="BV93" i="1"/>
  <c r="CC93" i="1"/>
  <c r="CI93" i="1"/>
  <c r="CM93" i="1"/>
  <c r="P94" i="1"/>
  <c r="CE94" i="1"/>
  <c r="M96" i="1"/>
  <c r="R96" i="1"/>
  <c r="AA96" i="1"/>
  <c r="AF96" i="1"/>
  <c r="AJ96" i="1"/>
  <c r="AR96" i="1"/>
  <c r="BD96" i="1"/>
  <c r="BH96" i="1"/>
  <c r="BO96" i="1"/>
  <c r="BS96" i="1"/>
  <c r="BK104" i="1"/>
  <c r="U107" i="1"/>
  <c r="BK107" i="1"/>
  <c r="CK107" i="1"/>
  <c r="U130" i="1"/>
  <c r="BK130" i="1"/>
  <c r="I132" i="1"/>
  <c r="R138" i="1"/>
  <c r="W138" i="1"/>
  <c r="AF138" i="1"/>
  <c r="AJ138" i="1"/>
  <c r="AN138" i="1"/>
  <c r="BD138" i="1"/>
  <c r="BH138" i="1"/>
  <c r="BO138" i="1"/>
  <c r="BS138" i="1"/>
  <c r="S138" i="1"/>
  <c r="X138" i="1"/>
  <c r="AB138" i="1"/>
  <c r="AG138" i="1"/>
  <c r="AO138" i="1"/>
  <c r="AX138" i="1"/>
  <c r="BP138" i="1"/>
  <c r="N146" i="1"/>
  <c r="AE147" i="1"/>
  <c r="BF156" i="1"/>
  <c r="CE162" i="1"/>
  <c r="P172" i="1"/>
  <c r="CE172" i="1"/>
  <c r="L218" i="1"/>
  <c r="AB218" i="1"/>
  <c r="AG218" i="1"/>
  <c r="AN218" i="1"/>
  <c r="AR218" i="1"/>
  <c r="AV218" i="1"/>
  <c r="BC218" i="1"/>
  <c r="BL218" i="1"/>
  <c r="BR218" i="1"/>
  <c r="BV218" i="1"/>
  <c r="CC218" i="1"/>
  <c r="U295" i="1"/>
  <c r="P299" i="1"/>
  <c r="P301" i="1"/>
  <c r="H45" i="1"/>
  <c r="H49" i="1"/>
  <c r="H56" i="1"/>
  <c r="H66" i="1"/>
  <c r="H79" i="1"/>
  <c r="H97" i="1"/>
  <c r="H130" i="1"/>
  <c r="H139" i="1"/>
  <c r="G153" i="1"/>
  <c r="P154" i="1"/>
  <c r="G172" i="1"/>
  <c r="G189" i="1"/>
  <c r="G218" i="1"/>
  <c r="X231" i="1"/>
  <c r="I254" i="1"/>
  <c r="Y231" i="1"/>
  <c r="BE110" i="1"/>
  <c r="AE154" i="1"/>
  <c r="AZ231" i="1"/>
  <c r="AE255" i="1"/>
  <c r="CB154" i="1"/>
  <c r="BN192" i="1"/>
  <c r="CD231" i="1"/>
  <c r="CB255" i="1"/>
  <c r="BV12" i="1"/>
  <c r="CI12" i="1"/>
  <c r="P13" i="1"/>
  <c r="BF13" i="1"/>
  <c r="CE13" i="1"/>
  <c r="CA17" i="1"/>
  <c r="CB30" i="1"/>
  <c r="CB33" i="1"/>
  <c r="P42" i="1"/>
  <c r="BF42" i="1"/>
  <c r="CE42" i="1"/>
  <c r="CE45" i="1"/>
  <c r="U45" i="1"/>
  <c r="BK45" i="1"/>
  <c r="CK45" i="1"/>
  <c r="AE47" i="1"/>
  <c r="BN47" i="1"/>
  <c r="BU44" i="1"/>
  <c r="I49" i="1"/>
  <c r="BB49" i="1"/>
  <c r="CE49" i="1"/>
  <c r="AR44" i="1"/>
  <c r="U51" i="1"/>
  <c r="BK51" i="1"/>
  <c r="CK51" i="1"/>
  <c r="P53" i="1"/>
  <c r="BF53" i="1"/>
  <c r="CE53" i="1"/>
  <c r="U56" i="1"/>
  <c r="BK56" i="1"/>
  <c r="CK56" i="1"/>
  <c r="AI58" i="1"/>
  <c r="AQ58" i="1"/>
  <c r="AW58" i="1"/>
  <c r="BC58" i="1"/>
  <c r="BX58" i="1"/>
  <c r="AE59" i="1"/>
  <c r="BF61" i="1"/>
  <c r="CE61" i="1"/>
  <c r="U65" i="1"/>
  <c r="BK64" i="1"/>
  <c r="CK64" i="1"/>
  <c r="BN69" i="1"/>
  <c r="CB71" i="1"/>
  <c r="AE71" i="1"/>
  <c r="BF71" i="1"/>
  <c r="CE71" i="1"/>
  <c r="AE73" i="1"/>
  <c r="BN73" i="1"/>
  <c r="I76" i="1"/>
  <c r="P77" i="1"/>
  <c r="CE77" i="1"/>
  <c r="AE79" i="1"/>
  <c r="BN79" i="1"/>
  <c r="H93" i="1"/>
  <c r="M93" i="1"/>
  <c r="R93" i="1"/>
  <c r="AA93" i="1"/>
  <c r="AF93" i="1"/>
  <c r="AJ93" i="1"/>
  <c r="AN93" i="1"/>
  <c r="AR93" i="1"/>
  <c r="BD93" i="1"/>
  <c r="BH93" i="1"/>
  <c r="BO93" i="1"/>
  <c r="BS93" i="1"/>
  <c r="BW93" i="1"/>
  <c r="J96" i="1"/>
  <c r="AS96" i="1"/>
  <c r="AX96" i="1"/>
  <c r="BN97" i="1"/>
  <c r="AE104" i="1"/>
  <c r="AE107" i="1"/>
  <c r="BN107" i="1"/>
  <c r="AC106" i="1"/>
  <c r="BQ106" i="1"/>
  <c r="BU106" i="1"/>
  <c r="BY106" i="1"/>
  <c r="CF106" i="1"/>
  <c r="K117" i="1"/>
  <c r="T117" i="1"/>
  <c r="Y117" i="1"/>
  <c r="AC117" i="1"/>
  <c r="AL117" i="1"/>
  <c r="AP117" i="1"/>
  <c r="AZ117" i="1"/>
  <c r="BG117" i="1"/>
  <c r="BQ117" i="1"/>
  <c r="BU117" i="1"/>
  <c r="Q117" i="1"/>
  <c r="V117" i="1"/>
  <c r="Z117" i="1"/>
  <c r="AD117" i="1"/>
  <c r="AQ117" i="1"/>
  <c r="AW117" i="1"/>
  <c r="BC117" i="1"/>
  <c r="U122" i="1"/>
  <c r="AM122" i="1"/>
  <c r="P132" i="1"/>
  <c r="AE139" i="1"/>
  <c r="O146" i="1"/>
  <c r="CK153" i="1"/>
  <c r="I167" i="1"/>
  <c r="U183" i="1"/>
  <c r="H208" i="1"/>
  <c r="M208" i="1"/>
  <c r="R208" i="1"/>
  <c r="W208" i="1"/>
  <c r="AA208" i="1"/>
  <c r="AF208" i="1"/>
  <c r="AN208" i="1"/>
  <c r="AR208" i="1"/>
  <c r="BD208" i="1"/>
  <c r="BH208" i="1"/>
  <c r="BO208" i="1"/>
  <c r="BS208" i="1"/>
  <c r="U209" i="1"/>
  <c r="U213" i="1"/>
  <c r="CK213" i="1"/>
  <c r="M218" i="1"/>
  <c r="AO218" i="1"/>
  <c r="AS218" i="1"/>
  <c r="AW218" i="1"/>
  <c r="BD218" i="1"/>
  <c r="BH218" i="1"/>
  <c r="BO218" i="1"/>
  <c r="BS218" i="1"/>
  <c r="BW218" i="1"/>
  <c r="CF218" i="1"/>
  <c r="G274" i="1"/>
  <c r="L274" i="1"/>
  <c r="Q274" i="1"/>
  <c r="V274" i="1"/>
  <c r="Z274" i="1"/>
  <c r="AD274" i="1"/>
  <c r="AI274" i="1"/>
  <c r="AM274" i="1"/>
  <c r="AU274" i="1"/>
  <c r="AX274" i="1"/>
  <c r="BE274" i="1"/>
  <c r="BI274" i="1"/>
  <c r="BT274" i="1"/>
  <c r="U13" i="1"/>
  <c r="BK13" i="1"/>
  <c r="CK13" i="1"/>
  <c r="AH15" i="1"/>
  <c r="I21" i="1"/>
  <c r="I26" i="1"/>
  <c r="CB26" i="1"/>
  <c r="P33" i="1"/>
  <c r="BF33" i="1"/>
  <c r="CE33" i="1"/>
  <c r="O35" i="1"/>
  <c r="U42" i="1"/>
  <c r="CK42" i="1"/>
  <c r="AE45" i="1"/>
  <c r="BN45" i="1"/>
  <c r="BB47" i="1"/>
  <c r="P49" i="1"/>
  <c r="BF49" i="1"/>
  <c r="CK49" i="1"/>
  <c r="AE51" i="1"/>
  <c r="BN51" i="1"/>
  <c r="AT44" i="1"/>
  <c r="U53" i="1"/>
  <c r="BK53" i="1"/>
  <c r="CK53" i="1"/>
  <c r="BN56" i="1"/>
  <c r="BR58" i="1"/>
  <c r="BU58" i="1"/>
  <c r="BK61" i="1"/>
  <c r="CK61" i="1"/>
  <c r="AE65" i="1"/>
  <c r="BN64" i="1"/>
  <c r="CC63" i="1"/>
  <c r="CI63" i="1"/>
  <c r="CE66" i="1"/>
  <c r="I69" i="1"/>
  <c r="P71" i="1"/>
  <c r="BK71" i="1"/>
  <c r="CK71" i="1"/>
  <c r="CB74" i="1"/>
  <c r="P75" i="1"/>
  <c r="U77" i="1"/>
  <c r="CK77" i="1"/>
  <c r="BB79" i="1"/>
  <c r="CB79" i="1"/>
  <c r="Q81" i="1"/>
  <c r="CC81" i="1"/>
  <c r="CI81" i="1"/>
  <c r="CM81" i="1"/>
  <c r="CO81" i="1"/>
  <c r="CE82" i="1"/>
  <c r="J93" i="1"/>
  <c r="N93" i="1"/>
  <c r="X93" i="1"/>
  <c r="AB93" i="1"/>
  <c r="AG93" i="1"/>
  <c r="AS93" i="1"/>
  <c r="AX93" i="1"/>
  <c r="BE93" i="1"/>
  <c r="BI93" i="1"/>
  <c r="BX93" i="1"/>
  <c r="CF93" i="1"/>
  <c r="AE94" i="1"/>
  <c r="BN94" i="1"/>
  <c r="K96" i="1"/>
  <c r="O96" i="1"/>
  <c r="T96" i="1"/>
  <c r="Y96" i="1"/>
  <c r="AC96" i="1"/>
  <c r="AH96" i="1"/>
  <c r="AL96" i="1"/>
  <c r="AP96" i="1"/>
  <c r="AV96" i="1"/>
  <c r="AZ96" i="1"/>
  <c r="BG96" i="1"/>
  <c r="BQ96" i="1"/>
  <c r="I107" i="1"/>
  <c r="BB107" i="1"/>
  <c r="CB107" i="1"/>
  <c r="I118" i="1"/>
  <c r="AI122" i="1"/>
  <c r="AE129" i="1"/>
  <c r="I130" i="1"/>
  <c r="CB130" i="1"/>
  <c r="L138" i="1"/>
  <c r="Y138" i="1"/>
  <c r="AC138" i="1"/>
  <c r="AH138" i="1"/>
  <c r="AP138" i="1"/>
  <c r="AV138" i="1"/>
  <c r="BG138" i="1"/>
  <c r="BQ138" i="1"/>
  <c r="I139" i="1"/>
  <c r="CA140" i="1"/>
  <c r="CA141" i="1"/>
  <c r="F142" i="1"/>
  <c r="CA142" i="1"/>
  <c r="Q138" i="1"/>
  <c r="V138" i="1"/>
  <c r="AD138" i="1"/>
  <c r="AI138" i="1"/>
  <c r="AM138" i="1"/>
  <c r="AQ138" i="1"/>
  <c r="AW138" i="1"/>
  <c r="BC138" i="1"/>
  <c r="BL138" i="1"/>
  <c r="BR138" i="1"/>
  <c r="CF138" i="1"/>
  <c r="AE181" i="1"/>
  <c r="BN183" i="1"/>
  <c r="BI208" i="1"/>
  <c r="BF213" i="1"/>
  <c r="AE213" i="1"/>
  <c r="I227" i="1"/>
  <c r="AD218" i="1"/>
  <c r="AL218" i="1"/>
  <c r="AP218" i="1"/>
  <c r="AT218" i="1"/>
  <c r="BE218" i="1"/>
  <c r="BI218" i="1"/>
  <c r="BP218" i="1"/>
  <c r="BT218" i="1"/>
  <c r="BX218" i="1"/>
  <c r="CM218" i="1"/>
  <c r="CI295" i="1"/>
  <c r="AE299" i="1"/>
  <c r="BN299" i="1"/>
  <c r="AE301" i="1"/>
  <c r="H35" i="1"/>
  <c r="H42" i="1"/>
  <c r="H47" i="1"/>
  <c r="H64" i="1"/>
  <c r="H71" i="1"/>
  <c r="H77" i="1"/>
  <c r="H132" i="1"/>
  <c r="H146" i="1"/>
  <c r="H153" i="1"/>
  <c r="G177" i="1"/>
  <c r="Z231" i="1"/>
  <c r="T231" i="1"/>
  <c r="P254" i="1"/>
  <c r="AA231" i="1"/>
  <c r="AZ115" i="1"/>
  <c r="AE155" i="1"/>
  <c r="AH156" i="1"/>
  <c r="AK231" i="1"/>
  <c r="CK158" i="1"/>
  <c r="BN194" i="1"/>
  <c r="CB126" i="1"/>
  <c r="CA129" i="1"/>
  <c r="CK295" i="1"/>
  <c r="CE295" i="1"/>
  <c r="Q218" i="1"/>
  <c r="H218" i="1"/>
  <c r="BI277" i="1"/>
  <c r="AJ218" i="1"/>
  <c r="T161" i="1"/>
  <c r="AI161" i="1"/>
  <c r="AE162" i="1"/>
  <c r="U162" i="1"/>
  <c r="F163" i="1"/>
  <c r="CK122" i="1"/>
  <c r="CA125" i="1"/>
  <c r="F125" i="1"/>
  <c r="N117" i="1"/>
  <c r="Q44" i="1"/>
  <c r="AX44" i="1"/>
  <c r="BE44" i="1"/>
  <c r="BI44" i="1"/>
  <c r="BL44" i="1"/>
  <c r="AK63" i="1"/>
  <c r="I71" i="1"/>
  <c r="F72" i="1"/>
  <c r="K75" i="1"/>
  <c r="BB77" i="1"/>
  <c r="BA78" i="1"/>
  <c r="K81" i="1"/>
  <c r="M81" i="1"/>
  <c r="BF172" i="1"/>
  <c r="BA173" i="1"/>
  <c r="K58" i="1"/>
  <c r="BF104" i="1"/>
  <c r="BA105" i="1"/>
  <c r="I154" i="1"/>
  <c r="N153" i="1"/>
  <c r="N231" i="1"/>
  <c r="AB197" i="1"/>
  <c r="U207" i="1"/>
  <c r="AH231" i="1"/>
  <c r="AA81" i="1"/>
  <c r="AC81" i="1"/>
  <c r="AF81" i="1"/>
  <c r="AH81" i="1"/>
  <c r="AJ81" i="1"/>
  <c r="AN81" i="1"/>
  <c r="BD81" i="1"/>
  <c r="BG81" i="1"/>
  <c r="AI156" i="1"/>
  <c r="BX189" i="1"/>
  <c r="W231" i="1"/>
  <c r="BT138" i="1"/>
  <c r="M161" i="1"/>
  <c r="Q161" i="1"/>
  <c r="V161" i="1"/>
  <c r="X161" i="1"/>
  <c r="Z161" i="1"/>
  <c r="AB161" i="1"/>
  <c r="AL161" i="1"/>
  <c r="AN161" i="1"/>
  <c r="AP161" i="1"/>
  <c r="AR161" i="1"/>
  <c r="AT161" i="1"/>
  <c r="AV161" i="1"/>
  <c r="AZ161" i="1"/>
  <c r="BG161" i="1"/>
  <c r="BH161" i="1"/>
  <c r="F234" i="1"/>
  <c r="CA234" i="1"/>
  <c r="CA236" i="1"/>
  <c r="CA240" i="1"/>
  <c r="CA242" i="1"/>
  <c r="CA248" i="1"/>
  <c r="F252" i="1"/>
  <c r="F217" i="1"/>
  <c r="R231" i="1"/>
  <c r="V231" i="1"/>
  <c r="I255" i="1"/>
  <c r="O231" i="1"/>
  <c r="BO161" i="1"/>
  <c r="BQ161" i="1"/>
  <c r="K161" i="1"/>
  <c r="L161" i="1"/>
  <c r="N161" i="1"/>
  <c r="R161" i="1"/>
  <c r="W161" i="1"/>
  <c r="Y161" i="1"/>
  <c r="AA161" i="1"/>
  <c r="AC161" i="1"/>
  <c r="AF161" i="1"/>
  <c r="AH161" i="1"/>
  <c r="BL161" i="1"/>
  <c r="BR161" i="1"/>
  <c r="BT161" i="1"/>
  <c r="BV161" i="1"/>
  <c r="BX161" i="1"/>
  <c r="CF161" i="1"/>
  <c r="M174" i="1"/>
  <c r="O174" i="1"/>
  <c r="R174" i="1"/>
  <c r="T174" i="1"/>
  <c r="Y174" i="1"/>
  <c r="AA174" i="1"/>
  <c r="AC174" i="1"/>
  <c r="AH174" i="1"/>
  <c r="AJ174" i="1"/>
  <c r="AP174" i="1"/>
  <c r="AR174" i="1"/>
  <c r="AV174" i="1"/>
  <c r="AZ174" i="1"/>
  <c r="BD174" i="1"/>
  <c r="BH174" i="1"/>
  <c r="BO174" i="1"/>
  <c r="BQ174" i="1"/>
  <c r="BS174" i="1"/>
  <c r="L174" i="1"/>
  <c r="N174" i="1"/>
  <c r="Q174" i="1"/>
  <c r="S174" i="1"/>
  <c r="V174" i="1"/>
  <c r="AD174" i="1"/>
  <c r="AG174" i="1"/>
  <c r="AI174" i="1"/>
  <c r="AK174" i="1"/>
  <c r="AO174" i="1"/>
  <c r="AQ174" i="1"/>
  <c r="AS174" i="1"/>
  <c r="AW174" i="1"/>
  <c r="AX174" i="1"/>
  <c r="BC174" i="1"/>
  <c r="BI174" i="1"/>
  <c r="BL174" i="1"/>
  <c r="BR174" i="1"/>
  <c r="BT174" i="1"/>
  <c r="BV174" i="1"/>
  <c r="CF174" i="1"/>
  <c r="CI174" i="1"/>
  <c r="CK231" i="1"/>
  <c r="AF58" i="1"/>
  <c r="AJ58" i="1"/>
  <c r="AN58" i="1"/>
  <c r="AP58" i="1"/>
  <c r="BD58" i="1"/>
  <c r="BG58" i="1"/>
  <c r="BH58" i="1"/>
  <c r="F18" i="1"/>
  <c r="BK19" i="1"/>
  <c r="CK19" i="1"/>
  <c r="F22" i="1"/>
  <c r="CA22" i="1"/>
  <c r="BA29" i="1"/>
  <c r="BK35" i="1"/>
  <c r="CB35" i="1"/>
  <c r="CA43" i="1"/>
  <c r="J63" i="1"/>
  <c r="CA65" i="1"/>
  <c r="BU174" i="1"/>
  <c r="BA131" i="1"/>
  <c r="BV117" i="1"/>
  <c r="BX117" i="1"/>
  <c r="CC117" i="1"/>
  <c r="CI117" i="1"/>
  <c r="CM117" i="1"/>
  <c r="CO117" i="1"/>
  <c r="BA137" i="1"/>
  <c r="BA140" i="1"/>
  <c r="BA142" i="1"/>
  <c r="CO161" i="1"/>
  <c r="CD174" i="1"/>
  <c r="CC174" i="1"/>
  <c r="CA245" i="1"/>
  <c r="N277" i="1"/>
  <c r="K106" i="1"/>
  <c r="M106" i="1"/>
  <c r="R106" i="1"/>
  <c r="Y106" i="1"/>
  <c r="AJ106" i="1"/>
  <c r="AR106" i="1"/>
  <c r="BH106" i="1"/>
  <c r="R81" i="1"/>
  <c r="W81" i="1"/>
  <c r="AP81" i="1"/>
  <c r="AR81" i="1"/>
  <c r="AV81" i="1"/>
  <c r="BH81" i="1"/>
  <c r="BA87" i="1"/>
  <c r="F120" i="1"/>
  <c r="AE134" i="1"/>
  <c r="AI231" i="1"/>
  <c r="H277" i="1"/>
  <c r="K277" i="1"/>
  <c r="M277" i="1"/>
  <c r="O277" i="1"/>
  <c r="R277" i="1"/>
  <c r="T277" i="1"/>
  <c r="W277" i="1"/>
  <c r="AA277" i="1"/>
  <c r="AC277" i="1"/>
  <c r="AJ277" i="1"/>
  <c r="AL277" i="1"/>
  <c r="AP277" i="1"/>
  <c r="AR277" i="1"/>
  <c r="AT277" i="1"/>
  <c r="BD277" i="1"/>
  <c r="BR277" i="1"/>
  <c r="BV277" i="1"/>
  <c r="AG277" i="1"/>
  <c r="AQ277" i="1"/>
  <c r="AX277" i="1"/>
  <c r="CM277" i="1"/>
  <c r="AB277" i="1"/>
  <c r="CC277" i="1"/>
  <c r="BB111" i="1"/>
  <c r="F206" i="1"/>
  <c r="F243" i="1"/>
  <c r="BF15" i="1"/>
  <c r="P19" i="1"/>
  <c r="F199" i="1"/>
  <c r="F200" i="1"/>
  <c r="F202" i="1"/>
  <c r="F203" i="1"/>
  <c r="F204" i="1"/>
  <c r="F205" i="1"/>
  <c r="F235" i="1"/>
  <c r="F238" i="1"/>
  <c r="F240" i="1"/>
  <c r="F244" i="1"/>
  <c r="F250" i="1"/>
  <c r="BA23" i="1"/>
  <c r="CA25" i="1"/>
  <c r="F27" i="1"/>
  <c r="CA27" i="1"/>
  <c r="CA28" i="1"/>
  <c r="F70" i="1"/>
  <c r="I82" i="1"/>
  <c r="U82" i="1"/>
  <c r="BA83" i="1"/>
  <c r="CB82" i="1"/>
  <c r="BF82" i="1"/>
  <c r="BN82" i="1"/>
  <c r="F87" i="1"/>
  <c r="F88" i="1"/>
  <c r="BA88" i="1"/>
  <c r="CA88" i="1"/>
  <c r="F90" i="1"/>
  <c r="F91" i="1"/>
  <c r="BA91" i="1"/>
  <c r="BA175" i="1"/>
  <c r="F232" i="1"/>
  <c r="F236" i="1"/>
  <c r="AH277" i="1"/>
  <c r="BA300" i="1"/>
  <c r="F304" i="1"/>
  <c r="CA296" i="1"/>
  <c r="CD277" i="1"/>
  <c r="CB295" i="1"/>
  <c r="AZ277" i="1"/>
  <c r="BG277" i="1"/>
  <c r="BL277" i="1"/>
  <c r="BT277" i="1"/>
  <c r="BX277" i="1"/>
  <c r="G277" i="1"/>
  <c r="L277" i="1"/>
  <c r="AI277" i="1"/>
  <c r="AK277" i="1"/>
  <c r="AO277" i="1"/>
  <c r="AS277" i="1"/>
  <c r="BH277" i="1"/>
  <c r="V277" i="1"/>
  <c r="Z277" i="1"/>
  <c r="AD277" i="1"/>
  <c r="BC277" i="1"/>
  <c r="H106" i="1"/>
  <c r="O106" i="1"/>
  <c r="T106" i="1"/>
  <c r="AA106" i="1"/>
  <c r="AH106" i="1"/>
  <c r="AL106" i="1"/>
  <c r="AP106" i="1"/>
  <c r="AV106" i="1"/>
  <c r="BG106" i="1"/>
  <c r="Z12" i="1"/>
  <c r="K44" i="1"/>
  <c r="L63" i="1"/>
  <c r="N63" i="1"/>
  <c r="R63" i="1"/>
  <c r="V63" i="1"/>
  <c r="X63" i="1"/>
  <c r="Z63" i="1"/>
  <c r="AD63" i="1"/>
  <c r="AG63" i="1"/>
  <c r="AI63" i="1"/>
  <c r="AM63" i="1"/>
  <c r="AO63" i="1"/>
  <c r="AS63" i="1"/>
  <c r="AX63" i="1"/>
  <c r="BC63" i="1"/>
  <c r="BE63" i="1"/>
  <c r="BG63" i="1"/>
  <c r="BH63" i="1"/>
  <c r="BU63" i="1"/>
  <c r="BW63" i="1"/>
  <c r="BY63" i="1"/>
  <c r="Q63" i="1"/>
  <c r="BI63" i="1"/>
  <c r="BL63" i="1"/>
  <c r="BP63" i="1"/>
  <c r="BR63" i="1"/>
  <c r="BV63" i="1"/>
  <c r="CM63" i="1"/>
  <c r="CO63" i="1"/>
  <c r="O58" i="1"/>
  <c r="AH63" i="1"/>
  <c r="M63" i="1"/>
  <c r="Y81" i="1"/>
  <c r="J117" i="1"/>
  <c r="L117" i="1"/>
  <c r="J161" i="1"/>
  <c r="BN61" i="1"/>
  <c r="BA62" i="1"/>
  <c r="BF73" i="1"/>
  <c r="BA74" i="1"/>
  <c r="I79" i="1"/>
  <c r="F80" i="1"/>
  <c r="BF79" i="1"/>
  <c r="BA80" i="1"/>
  <c r="F84" i="1"/>
  <c r="P82" i="1"/>
  <c r="F86" i="1"/>
  <c r="BF132" i="1"/>
  <c r="BA133" i="1"/>
  <c r="I134" i="1"/>
  <c r="F135" i="1"/>
  <c r="BK134" i="1"/>
  <c r="BA135" i="1"/>
  <c r="BA76" i="1"/>
  <c r="CA131" i="1"/>
  <c r="BA86" i="1"/>
  <c r="BK82" i="1"/>
  <c r="BK139" i="1"/>
  <c r="CA86" i="1"/>
  <c r="F133" i="1"/>
  <c r="CE19" i="1"/>
  <c r="BF35" i="1"/>
  <c r="BK42" i="1"/>
  <c r="P45" i="1"/>
  <c r="F46" i="1"/>
  <c r="T63" i="1"/>
  <c r="F68" i="1"/>
  <c r="I122" i="1"/>
  <c r="BN122" i="1"/>
  <c r="I126" i="1"/>
  <c r="F141" i="1"/>
  <c r="F149" i="1"/>
  <c r="F140" i="1"/>
  <c r="O117" i="1"/>
  <c r="BA124" i="1"/>
  <c r="F123" i="1"/>
  <c r="F119" i="1"/>
  <c r="AE66" i="1"/>
  <c r="T58" i="1"/>
  <c r="F60" i="1"/>
  <c r="I59" i="1"/>
  <c r="F23" i="1"/>
  <c r="F215" i="1" l="1"/>
  <c r="X152" i="1"/>
  <c r="CD152" i="1"/>
  <c r="R152" i="1"/>
  <c r="AR152" i="1"/>
  <c r="CA278" i="1"/>
  <c r="AE278" i="1"/>
  <c r="AI152" i="1"/>
  <c r="AH218" i="1"/>
  <c r="BA292" i="1"/>
  <c r="F292" i="1"/>
  <c r="CA292" i="1"/>
  <c r="BA215" i="1"/>
  <c r="BA278" i="1"/>
  <c r="H99" i="1"/>
  <c r="CN305" i="1"/>
  <c r="O152" i="1"/>
  <c r="BF99" i="1"/>
  <c r="G152" i="1"/>
  <c r="E221" i="1"/>
  <c r="AZ152" i="1"/>
  <c r="CA215" i="1"/>
  <c r="AH152" i="1"/>
  <c r="CK99" i="1"/>
  <c r="BB99" i="1"/>
  <c r="I99" i="1"/>
  <c r="P99" i="1"/>
  <c r="BK152" i="1"/>
  <c r="BN152" i="1"/>
  <c r="AE99" i="1"/>
  <c r="CE152" i="1"/>
  <c r="BN99" i="1"/>
  <c r="N152" i="1"/>
  <c r="BB152" i="1"/>
  <c r="T152" i="1"/>
  <c r="BF152" i="1"/>
  <c r="H152" i="1"/>
  <c r="CB99" i="1"/>
  <c r="U99" i="1"/>
  <c r="BK99" i="1"/>
  <c r="CE99" i="1"/>
  <c r="CA85" i="1"/>
  <c r="F85" i="1"/>
  <c r="BA85" i="1"/>
  <c r="F287" i="1"/>
  <c r="BB55" i="1"/>
  <c r="BN55" i="1"/>
  <c r="CK55" i="1"/>
  <c r="BF55" i="1"/>
  <c r="CE55" i="1"/>
  <c r="AE55" i="1"/>
  <c r="U55" i="1"/>
  <c r="BK55" i="1"/>
  <c r="P55" i="1"/>
  <c r="F296" i="1"/>
  <c r="F295" i="1" s="1"/>
  <c r="CB55" i="1"/>
  <c r="I55" i="1"/>
  <c r="H55" i="1"/>
  <c r="G55" i="1"/>
  <c r="I295" i="1"/>
  <c r="BA112" i="1"/>
  <c r="CA100" i="1"/>
  <c r="F112" i="1"/>
  <c r="CA112" i="1"/>
  <c r="BA100" i="1"/>
  <c r="F100" i="1"/>
  <c r="AX12" i="1"/>
  <c r="CB96" i="1"/>
  <c r="AQ63" i="1"/>
  <c r="W12" i="1"/>
  <c r="CA132" i="1"/>
  <c r="CA107" i="1"/>
  <c r="J277" i="1"/>
  <c r="AP12" i="1"/>
  <c r="BZ240" i="1"/>
  <c r="AZ12" i="1"/>
  <c r="BZ72" i="1"/>
  <c r="CA47" i="1"/>
  <c r="BZ111" i="1"/>
  <c r="CA66" i="1"/>
  <c r="E136" i="1"/>
  <c r="BZ119" i="1"/>
  <c r="F213" i="1"/>
  <c r="CB122" i="1"/>
  <c r="BZ70" i="1"/>
  <c r="AE122" i="1"/>
  <c r="F107" i="1"/>
  <c r="BZ80" i="1"/>
  <c r="BB96" i="1"/>
  <c r="F130" i="1"/>
  <c r="BZ246" i="1"/>
  <c r="I93" i="1"/>
  <c r="CE96" i="1"/>
  <c r="BZ225" i="1"/>
  <c r="BZ211" i="1"/>
  <c r="BZ232" i="1"/>
  <c r="F299" i="1"/>
  <c r="F116" i="1"/>
  <c r="H58" i="1"/>
  <c r="CD138" i="1"/>
  <c r="CD63" i="1"/>
  <c r="AK12" i="1"/>
  <c r="R12" i="1"/>
  <c r="CA213" i="1"/>
  <c r="AA63" i="1"/>
  <c r="F38" i="1"/>
  <c r="E95" i="1"/>
  <c r="CA181" i="1"/>
  <c r="BZ191" i="1"/>
  <c r="CA162" i="1"/>
  <c r="AS117" i="1"/>
  <c r="AR138" i="1"/>
  <c r="CA185" i="1"/>
  <c r="BK218" i="1"/>
  <c r="AE115" i="1"/>
  <c r="H81" i="1"/>
  <c r="F143" i="1"/>
  <c r="CA118" i="1"/>
  <c r="E265" i="1"/>
  <c r="CA51" i="1"/>
  <c r="CA301" i="1"/>
  <c r="E233" i="1"/>
  <c r="U274" i="1"/>
  <c r="AE274" i="1"/>
  <c r="E249" i="1"/>
  <c r="E245" i="1"/>
  <c r="BF218" i="1"/>
  <c r="BZ253" i="1"/>
  <c r="BN218" i="1"/>
  <c r="F301" i="1"/>
  <c r="BA295" i="1"/>
  <c r="BZ239" i="1"/>
  <c r="F270" i="1"/>
  <c r="E246" i="1"/>
  <c r="CA299" i="1"/>
  <c r="BZ302" i="1"/>
  <c r="BA275" i="1"/>
  <c r="BN208" i="1"/>
  <c r="BB274" i="1"/>
  <c r="BA272" i="1"/>
  <c r="BZ219" i="1"/>
  <c r="CB208" i="1"/>
  <c r="BZ247" i="1"/>
  <c r="BZ241" i="1"/>
  <c r="BZ227" i="1"/>
  <c r="BA301" i="1"/>
  <c r="BZ244" i="1"/>
  <c r="CA303" i="1"/>
  <c r="BZ207" i="1"/>
  <c r="BN274" i="1"/>
  <c r="CA256" i="1"/>
  <c r="E260" i="1"/>
  <c r="E263" i="1"/>
  <c r="E262" i="1"/>
  <c r="CA272" i="1"/>
  <c r="BZ260" i="1"/>
  <c r="BA303" i="1"/>
  <c r="BZ262" i="1"/>
  <c r="BZ243" i="1"/>
  <c r="BZ163" i="1"/>
  <c r="I174" i="1"/>
  <c r="O161" i="1"/>
  <c r="BZ271" i="1"/>
  <c r="F167" i="1"/>
  <c r="BZ155" i="1"/>
  <c r="E239" i="1"/>
  <c r="E264" i="1"/>
  <c r="BZ237" i="1"/>
  <c r="BZ221" i="1"/>
  <c r="BB208" i="1"/>
  <c r="BK208" i="1"/>
  <c r="CA270" i="1"/>
  <c r="BZ214" i="1"/>
  <c r="BZ249" i="1"/>
  <c r="BA183" i="1"/>
  <c r="BZ173" i="1"/>
  <c r="BZ265" i="1"/>
  <c r="BZ165" i="1"/>
  <c r="BZ206" i="1"/>
  <c r="BZ238" i="1"/>
  <c r="CK208" i="1"/>
  <c r="E171" i="1"/>
  <c r="BZ251" i="1"/>
  <c r="U156" i="1"/>
  <c r="BZ192" i="1"/>
  <c r="E302" i="1"/>
  <c r="F158" i="1"/>
  <c r="BA256" i="1"/>
  <c r="BZ298" i="1"/>
  <c r="BF138" i="1"/>
  <c r="E248" i="1"/>
  <c r="BB218" i="1"/>
  <c r="BA182" i="1"/>
  <c r="F272" i="1"/>
  <c r="BZ128" i="1"/>
  <c r="H174" i="1"/>
  <c r="AZ138" i="1"/>
  <c r="E148" i="1"/>
  <c r="BA167" i="1"/>
  <c r="BZ186" i="1"/>
  <c r="E247" i="1"/>
  <c r="E259" i="1"/>
  <c r="I274" i="1"/>
  <c r="BZ233" i="1"/>
  <c r="P274" i="1"/>
  <c r="BZ178" i="1"/>
  <c r="BZ250" i="1"/>
  <c r="BK274" i="1"/>
  <c r="BA270" i="1"/>
  <c r="BZ202" i="1"/>
  <c r="BZ228" i="1"/>
  <c r="AM212" i="1"/>
  <c r="E293" i="1"/>
  <c r="BZ201" i="1"/>
  <c r="BZ269" i="1"/>
  <c r="CB93" i="1"/>
  <c r="BZ273" i="1"/>
  <c r="CA134" i="1"/>
  <c r="BZ60" i="1"/>
  <c r="CA56" i="1"/>
  <c r="F49" i="1"/>
  <c r="F33" i="1"/>
  <c r="E121" i="1"/>
  <c r="E253" i="1"/>
  <c r="E108" i="1"/>
  <c r="BK161" i="1"/>
  <c r="BZ108" i="1"/>
  <c r="BA213" i="1"/>
  <c r="E273" i="1"/>
  <c r="E150" i="1"/>
  <c r="CA164" i="1"/>
  <c r="E225" i="1"/>
  <c r="F124" i="1"/>
  <c r="BZ203" i="1"/>
  <c r="E241" i="1"/>
  <c r="E195" i="1"/>
  <c r="BF208" i="1"/>
  <c r="BA94" i="1"/>
  <c r="BZ204" i="1"/>
  <c r="BZ217" i="1"/>
  <c r="I208" i="1"/>
  <c r="BZ95" i="1"/>
  <c r="BZ200" i="1"/>
  <c r="E144" i="1"/>
  <c r="CA290" i="1"/>
  <c r="BA170" i="1"/>
  <c r="E228" i="1"/>
  <c r="BZ193" i="1"/>
  <c r="BZ291" i="1"/>
  <c r="F170" i="1"/>
  <c r="BZ205" i="1"/>
  <c r="N12" i="1"/>
  <c r="U138" i="1"/>
  <c r="P174" i="1"/>
  <c r="CA167" i="1"/>
  <c r="J218" i="1"/>
  <c r="BN138" i="1"/>
  <c r="BZ168" i="1"/>
  <c r="AE35" i="1"/>
  <c r="CA94" i="1"/>
  <c r="AE15" i="1"/>
  <c r="F16" i="1"/>
  <c r="CF212" i="1"/>
  <c r="F76" i="1"/>
  <c r="L212" i="1"/>
  <c r="AM12" i="1"/>
  <c r="AU212" i="1"/>
  <c r="S212" i="1"/>
  <c r="BZ135" i="1"/>
  <c r="BZ32" i="1"/>
  <c r="CD12" i="1"/>
  <c r="CA53" i="1"/>
  <c r="Y12" i="1"/>
  <c r="AC218" i="1"/>
  <c r="F187" i="1"/>
  <c r="E186" i="1"/>
  <c r="BZ91" i="1"/>
  <c r="BA297" i="1"/>
  <c r="E219" i="1"/>
  <c r="AE96" i="1"/>
  <c r="BZ38" i="1"/>
  <c r="BB93" i="1"/>
  <c r="F47" i="1"/>
  <c r="CK93" i="1"/>
  <c r="BA185" i="1"/>
  <c r="BB161" i="1"/>
  <c r="F104" i="1"/>
  <c r="BZ127" i="1"/>
  <c r="BZ175" i="1"/>
  <c r="BZ195" i="1"/>
  <c r="BZ136" i="1"/>
  <c r="BZ98" i="1"/>
  <c r="BZ149" i="1"/>
  <c r="BZ166" i="1"/>
  <c r="CA177" i="1"/>
  <c r="BZ188" i="1"/>
  <c r="E190" i="1"/>
  <c r="BZ210" i="1"/>
  <c r="BZ31" i="1"/>
  <c r="BZ78" i="1"/>
  <c r="BA187" i="1"/>
  <c r="CE208" i="1"/>
  <c r="BZ169" i="1"/>
  <c r="P208" i="1"/>
  <c r="E193" i="1"/>
  <c r="F181" i="1"/>
  <c r="CA170" i="1"/>
  <c r="CA69" i="1"/>
  <c r="E179" i="1"/>
  <c r="CA79" i="1"/>
  <c r="E242" i="1"/>
  <c r="BF93" i="1"/>
  <c r="CA75" i="1"/>
  <c r="BZ68" i="1"/>
  <c r="E169" i="1"/>
  <c r="F165" i="1"/>
  <c r="BZ137" i="1"/>
  <c r="BZ182" i="1"/>
  <c r="F297" i="1"/>
  <c r="BZ300" i="1"/>
  <c r="CE274" i="1"/>
  <c r="BZ264" i="1"/>
  <c r="U96" i="1"/>
  <c r="CA295" i="1"/>
  <c r="U197" i="1"/>
  <c r="T218" i="1"/>
  <c r="BS212" i="1"/>
  <c r="BC212" i="1"/>
  <c r="AE146" i="1"/>
  <c r="BG212" i="1"/>
  <c r="AI12" i="1"/>
  <c r="F13" i="1"/>
  <c r="CA13" i="1"/>
  <c r="F61" i="1"/>
  <c r="BA59" i="1"/>
  <c r="BZ52" i="1"/>
  <c r="BZ50" i="1"/>
  <c r="BA40" i="1"/>
  <c r="CA104" i="1"/>
  <c r="F40" i="1"/>
  <c r="BA13" i="1"/>
  <c r="E48" i="1"/>
  <c r="H161" i="1"/>
  <c r="BN161" i="1"/>
  <c r="CK174" i="1"/>
  <c r="F69" i="1"/>
  <c r="J138" i="1"/>
  <c r="CA97" i="1"/>
  <c r="F183" i="1"/>
  <c r="CA189" i="1"/>
  <c r="BZ48" i="1"/>
  <c r="BA146" i="1"/>
  <c r="E145" i="1"/>
  <c r="BA115" i="1"/>
  <c r="CA197" i="1"/>
  <c r="F162" i="1"/>
  <c r="Z218" i="1"/>
  <c r="CA297" i="1"/>
  <c r="CK161" i="1"/>
  <c r="BZ176" i="1"/>
  <c r="CE218" i="1"/>
  <c r="BD212" i="1"/>
  <c r="AS212" i="1"/>
  <c r="M212" i="1"/>
  <c r="O138" i="1"/>
  <c r="P117" i="1"/>
  <c r="AM117" i="1"/>
  <c r="AE58" i="1"/>
  <c r="BZ293" i="1"/>
  <c r="BZ90" i="1"/>
  <c r="CB58" i="1"/>
  <c r="BA164" i="1"/>
  <c r="F110" i="1"/>
  <c r="AZ218" i="1"/>
  <c r="Y218" i="1"/>
  <c r="F32" i="1"/>
  <c r="BZ252" i="1"/>
  <c r="BA290" i="1"/>
  <c r="BA107" i="1"/>
  <c r="BZ148" i="1"/>
  <c r="CK96" i="1"/>
  <c r="E178" i="1"/>
  <c r="BZ304" i="1"/>
  <c r="BZ263" i="1"/>
  <c r="BF274" i="1"/>
  <c r="BZ259" i="1"/>
  <c r="BZ171" i="1"/>
  <c r="BA143" i="1"/>
  <c r="E269" i="1"/>
  <c r="BK96" i="1"/>
  <c r="E276" i="1"/>
  <c r="BA66" i="1"/>
  <c r="BZ62" i="1"/>
  <c r="BB58" i="1"/>
  <c r="CA33" i="1"/>
  <c r="E271" i="1"/>
  <c r="BA64" i="1"/>
  <c r="F53" i="1"/>
  <c r="F51" i="1"/>
  <c r="BA47" i="1"/>
  <c r="F275" i="1"/>
  <c r="BZ24" i="1"/>
  <c r="I96" i="1"/>
  <c r="G138" i="1"/>
  <c r="BX12" i="1"/>
  <c r="E237" i="1"/>
  <c r="E210" i="1"/>
  <c r="BZ67" i="1"/>
  <c r="I35" i="1"/>
  <c r="BZ83" i="1"/>
  <c r="F77" i="1"/>
  <c r="BA53" i="1"/>
  <c r="CA40" i="1"/>
  <c r="BZ199" i="1"/>
  <c r="BZ196" i="1"/>
  <c r="E127" i="1"/>
  <c r="E191" i="1"/>
  <c r="CD117" i="1"/>
  <c r="BZ116" i="1"/>
  <c r="BA209" i="1"/>
  <c r="CE117" i="1"/>
  <c r="BZ157" i="1"/>
  <c r="CA183" i="1"/>
  <c r="CA71" i="1"/>
  <c r="CK138" i="1"/>
  <c r="BZ151" i="1"/>
  <c r="CA172" i="1"/>
  <c r="E184" i="1"/>
  <c r="K12" i="1"/>
  <c r="F94" i="1"/>
  <c r="BB138" i="1"/>
  <c r="E198" i="1"/>
  <c r="F172" i="1"/>
  <c r="E214" i="1"/>
  <c r="E176" i="1"/>
  <c r="CE138" i="1"/>
  <c r="CA124" i="1"/>
  <c r="BZ121" i="1"/>
  <c r="CA110" i="1"/>
  <c r="BK93" i="1"/>
  <c r="F290" i="1"/>
  <c r="F256" i="1"/>
  <c r="BZ57" i="1"/>
  <c r="BZ144" i="1"/>
  <c r="CA59" i="1"/>
  <c r="BZ133" i="1"/>
  <c r="BZ87" i="1"/>
  <c r="BA71" i="1"/>
  <c r="BZ84" i="1"/>
  <c r="F73" i="1"/>
  <c r="BZ145" i="1"/>
  <c r="BZ179" i="1"/>
  <c r="I146" i="1"/>
  <c r="CK274" i="1"/>
  <c r="BZ198" i="1"/>
  <c r="AE19" i="1"/>
  <c r="BB117" i="1"/>
  <c r="CB161" i="1"/>
  <c r="BB174" i="1"/>
  <c r="E128" i="1"/>
  <c r="BA118" i="1"/>
  <c r="E151" i="1"/>
  <c r="U15" i="1"/>
  <c r="CA82" i="1"/>
  <c r="E211" i="1"/>
  <c r="E173" i="1"/>
  <c r="E291" i="1"/>
  <c r="CA126" i="1"/>
  <c r="CA115" i="1"/>
  <c r="BZ76" i="1"/>
  <c r="I164" i="1"/>
  <c r="CB44" i="1"/>
  <c r="BK174" i="1"/>
  <c r="BA177" i="1"/>
  <c r="E14" i="1"/>
  <c r="F17" i="1"/>
  <c r="CA49" i="1"/>
  <c r="CA209" i="1"/>
  <c r="CA143" i="1"/>
  <c r="CA187" i="1"/>
  <c r="F97" i="1"/>
  <c r="I44" i="1"/>
  <c r="BZ184" i="1"/>
  <c r="CE174" i="1"/>
  <c r="F209" i="1"/>
  <c r="BZ105" i="1"/>
  <c r="E298" i="1"/>
  <c r="BB81" i="1"/>
  <c r="BZ180" i="1"/>
  <c r="G117" i="1"/>
  <c r="E57" i="1"/>
  <c r="E196" i="1"/>
  <c r="E180" i="1"/>
  <c r="F177" i="1"/>
  <c r="E168" i="1"/>
  <c r="E52" i="1"/>
  <c r="BA126" i="1"/>
  <c r="F56" i="1"/>
  <c r="BF174" i="1"/>
  <c r="E67" i="1"/>
  <c r="BZ34" i="1"/>
  <c r="E36" i="1"/>
  <c r="F189" i="1"/>
  <c r="BK277" i="1"/>
  <c r="E166" i="1"/>
  <c r="U117" i="1"/>
  <c r="CA77" i="1"/>
  <c r="E68" i="1"/>
  <c r="BZ14" i="1"/>
  <c r="BZ54" i="1"/>
  <c r="CA61" i="1"/>
  <c r="E24" i="1"/>
  <c r="E34" i="1"/>
  <c r="BA162" i="1"/>
  <c r="BZ150" i="1"/>
  <c r="BZ120" i="1"/>
  <c r="U93" i="1"/>
  <c r="BZ194" i="1"/>
  <c r="CB231" i="1"/>
  <c r="BZ20" i="1"/>
  <c r="CA35" i="1"/>
  <c r="G63" i="1"/>
  <c r="E50" i="1"/>
  <c r="BN189" i="1"/>
  <c r="AE156" i="1"/>
  <c r="E188" i="1"/>
  <c r="BA153" i="1"/>
  <c r="BF277" i="1"/>
  <c r="AG212" i="1"/>
  <c r="CM212" i="1"/>
  <c r="AR212" i="1"/>
  <c r="E201" i="1"/>
  <c r="BL212" i="1"/>
  <c r="AK117" i="1"/>
  <c r="AW277" i="1"/>
  <c r="BE212" i="1"/>
  <c r="BX212" i="1"/>
  <c r="U106" i="1"/>
  <c r="BA197" i="1"/>
  <c r="BA156" i="1"/>
  <c r="BA69" i="1"/>
  <c r="BZ37" i="1"/>
  <c r="E157" i="1"/>
  <c r="BZ235" i="1"/>
  <c r="BZ276" i="1"/>
  <c r="CA275" i="1"/>
  <c r="BZ190" i="1"/>
  <c r="BZ287" i="1"/>
  <c r="BN19" i="1"/>
  <c r="G44" i="1"/>
  <c r="BY174" i="1"/>
  <c r="F185" i="1"/>
  <c r="G58" i="1"/>
  <c r="CB274" i="1"/>
  <c r="BA231" i="1"/>
  <c r="BA56" i="1"/>
  <c r="BN181" i="1"/>
  <c r="AE208" i="1"/>
  <c r="BA97" i="1"/>
  <c r="BZ46" i="1"/>
  <c r="CA45" i="1"/>
  <c r="G12" i="1"/>
  <c r="E251" i="1"/>
  <c r="E98" i="1"/>
  <c r="U153" i="1"/>
  <c r="G96" i="1"/>
  <c r="F42" i="1"/>
  <c r="E28" i="1"/>
  <c r="E199" i="1"/>
  <c r="E54" i="1"/>
  <c r="BA49" i="1"/>
  <c r="U44" i="1"/>
  <c r="E120" i="1"/>
  <c r="G161" i="1"/>
  <c r="CB73" i="1"/>
  <c r="E37" i="1"/>
  <c r="P35" i="1"/>
  <c r="AI117" i="1"/>
  <c r="P138" i="1"/>
  <c r="I106" i="1"/>
  <c r="AW212" i="1"/>
  <c r="BH212" i="1"/>
  <c r="E252" i="1"/>
  <c r="BZ39" i="1"/>
  <c r="BT212" i="1"/>
  <c r="Q212" i="1"/>
  <c r="F65" i="1"/>
  <c r="AD212" i="1"/>
  <c r="F26" i="1"/>
  <c r="BA33" i="1"/>
  <c r="AE44" i="1"/>
  <c r="CA30" i="1"/>
  <c r="F21" i="1"/>
  <c r="CK44" i="1"/>
  <c r="U35" i="1"/>
  <c r="BF44" i="1"/>
  <c r="F71" i="1"/>
  <c r="BK63" i="1"/>
  <c r="E83" i="1"/>
  <c r="P63" i="1"/>
  <c r="BP212" i="1"/>
  <c r="F39" i="1"/>
  <c r="BA16" i="1"/>
  <c r="BB12" i="1"/>
  <c r="CE44" i="1"/>
  <c r="E31" i="1"/>
  <c r="AQ212" i="1"/>
  <c r="AX212" i="1"/>
  <c r="CK81" i="1"/>
  <c r="CK277" i="1"/>
  <c r="AH12" i="1"/>
  <c r="H212" i="1"/>
  <c r="BZ21" i="1"/>
  <c r="BZ29" i="1"/>
  <c r="U161" i="1"/>
  <c r="BO212" i="1"/>
  <c r="CE63" i="1"/>
  <c r="CA254" i="1"/>
  <c r="AS138" i="1"/>
  <c r="E72" i="1"/>
  <c r="BI212" i="1"/>
  <c r="CO212" i="1"/>
  <c r="AP212" i="1"/>
  <c r="BA45" i="1"/>
  <c r="I231" i="1"/>
  <c r="BZ36" i="1"/>
  <c r="P58" i="1"/>
  <c r="BB44" i="1"/>
  <c r="BN277" i="1"/>
  <c r="AZ106" i="1"/>
  <c r="G174" i="1"/>
  <c r="AE231" i="1"/>
  <c r="BB63" i="1"/>
  <c r="AB212" i="1"/>
  <c r="CC212" i="1"/>
  <c r="K212" i="1"/>
  <c r="BZ23" i="1"/>
  <c r="CA26" i="1"/>
  <c r="CK12" i="1"/>
  <c r="BR212" i="1"/>
  <c r="BZ16" i="1"/>
  <c r="BN44" i="1"/>
  <c r="BZ140" i="1"/>
  <c r="P277" i="1"/>
  <c r="AN212" i="1"/>
  <c r="CB19" i="1"/>
  <c r="I19" i="1"/>
  <c r="BK44" i="1"/>
  <c r="E22" i="1"/>
  <c r="CA139" i="1"/>
  <c r="BN63" i="1"/>
  <c r="CB174" i="1"/>
  <c r="G212" i="1"/>
  <c r="U231" i="1"/>
  <c r="F30" i="1"/>
  <c r="U277" i="1"/>
  <c r="AB174" i="1"/>
  <c r="CA74" i="1"/>
  <c r="AV212" i="1"/>
  <c r="AF212" i="1"/>
  <c r="H138" i="1"/>
  <c r="O12" i="1"/>
  <c r="E20" i="1"/>
  <c r="BA51" i="1"/>
  <c r="BF81" i="1"/>
  <c r="BB277" i="1"/>
  <c r="AE81" i="1"/>
  <c r="I117" i="1"/>
  <c r="E234" i="1"/>
  <c r="BZ18" i="1"/>
  <c r="E141" i="1"/>
  <c r="BA42" i="1"/>
  <c r="BA134" i="1"/>
  <c r="BA132" i="1"/>
  <c r="P81" i="1"/>
  <c r="BA79" i="1"/>
  <c r="I81" i="1"/>
  <c r="E203" i="1"/>
  <c r="I58" i="1"/>
  <c r="BK12" i="1"/>
  <c r="BA35" i="1"/>
  <c r="BK117" i="1"/>
  <c r="BF117" i="1"/>
  <c r="E84" i="1"/>
  <c r="BA82" i="1"/>
  <c r="E200" i="1"/>
  <c r="CB81" i="1"/>
  <c r="E70" i="1"/>
  <c r="E250" i="1"/>
  <c r="E202" i="1"/>
  <c r="E243" i="1"/>
  <c r="BZ234" i="1"/>
  <c r="E142" i="1"/>
  <c r="BA130" i="1"/>
  <c r="E29" i="1"/>
  <c r="CI277" i="1"/>
  <c r="BF161" i="1"/>
  <c r="AT212" i="1"/>
  <c r="AL212" i="1"/>
  <c r="F227" i="1"/>
  <c r="BY212" i="1"/>
  <c r="BQ212" i="1"/>
  <c r="CA147" i="1"/>
  <c r="CB146" i="1"/>
  <c r="AJ117" i="1"/>
  <c r="H117" i="1"/>
  <c r="BF106" i="1"/>
  <c r="BF96" i="1"/>
  <c r="F132" i="1"/>
  <c r="BK81" i="1"/>
  <c r="U81" i="1"/>
  <c r="BA61" i="1"/>
  <c r="E244" i="1"/>
  <c r="BA139" i="1"/>
  <c r="BZ22" i="1"/>
  <c r="E18" i="1"/>
  <c r="R218" i="1"/>
  <c r="BZ248" i="1"/>
  <c r="F207" i="1"/>
  <c r="K63" i="1"/>
  <c r="BA194" i="1"/>
  <c r="AA218" i="1"/>
  <c r="I156" i="1"/>
  <c r="H12" i="1"/>
  <c r="BZ142" i="1"/>
  <c r="BZ141" i="1"/>
  <c r="CB106" i="1"/>
  <c r="BN93" i="1"/>
  <c r="CK58" i="1"/>
  <c r="CO277" i="1"/>
  <c r="AO212" i="1"/>
  <c r="BN106" i="1"/>
  <c r="CK63" i="1"/>
  <c r="U64" i="1"/>
  <c r="CD218" i="1"/>
  <c r="CB153" i="1"/>
  <c r="CA154" i="1"/>
  <c r="AE153" i="1"/>
  <c r="F254" i="1"/>
  <c r="P153" i="1"/>
  <c r="H96" i="1"/>
  <c r="CE161" i="1"/>
  <c r="N138" i="1"/>
  <c r="BK106" i="1"/>
  <c r="P93" i="1"/>
  <c r="BK58" i="1"/>
  <c r="AE174" i="1"/>
  <c r="BF58" i="1"/>
  <c r="CE81" i="1"/>
  <c r="BZ28" i="1"/>
  <c r="BZ25" i="1"/>
  <c r="E205" i="1"/>
  <c r="E123" i="1"/>
  <c r="P44" i="1"/>
  <c r="CE12" i="1"/>
  <c r="BN58" i="1"/>
  <c r="E232" i="1"/>
  <c r="BZ88" i="1"/>
  <c r="BN81" i="1"/>
  <c r="BZ27" i="1"/>
  <c r="E240" i="1"/>
  <c r="E204" i="1"/>
  <c r="F255" i="1"/>
  <c r="BZ242" i="1"/>
  <c r="BA172" i="1"/>
  <c r="BZ17" i="1"/>
  <c r="CA15" i="1"/>
  <c r="CI212" i="1"/>
  <c r="BU212" i="1"/>
  <c r="BZ123" i="1"/>
  <c r="CE106" i="1"/>
  <c r="P106" i="1"/>
  <c r="P96" i="1"/>
  <c r="F59" i="1"/>
  <c r="BA122" i="1"/>
  <c r="BN117" i="1"/>
  <c r="E149" i="1"/>
  <c r="F66" i="1"/>
  <c r="BF12" i="1"/>
  <c r="BK138" i="1"/>
  <c r="E90" i="1"/>
  <c r="E27" i="1"/>
  <c r="E238" i="1"/>
  <c r="E206" i="1"/>
  <c r="E137" i="1"/>
  <c r="BX174" i="1"/>
  <c r="CK156" i="1"/>
  <c r="CA158" i="1"/>
  <c r="AK218" i="1"/>
  <c r="F155" i="1"/>
  <c r="H63" i="1"/>
  <c r="AE126" i="1"/>
  <c r="F129" i="1"/>
  <c r="AE93" i="1"/>
  <c r="AE64" i="1"/>
  <c r="BW212" i="1"/>
  <c r="U208" i="1"/>
  <c r="BN96" i="1"/>
  <c r="I75" i="1"/>
  <c r="CE58" i="1"/>
  <c r="CA255" i="1"/>
  <c r="BA192" i="1"/>
  <c r="BE106" i="1"/>
  <c r="X218" i="1"/>
  <c r="H44" i="1"/>
  <c r="BV212" i="1"/>
  <c r="P161" i="1"/>
  <c r="F147" i="1"/>
  <c r="CK106" i="1"/>
  <c r="CE93" i="1"/>
  <c r="U58" i="1"/>
  <c r="U19" i="1"/>
  <c r="E25" i="1"/>
  <c r="BZ129" i="1"/>
  <c r="E23" i="1"/>
  <c r="CE277" i="1"/>
  <c r="CB277" i="1"/>
  <c r="BZ296" i="1"/>
  <c r="BZ236" i="1"/>
  <c r="O218" i="1"/>
  <c r="N218" i="1"/>
  <c r="E175" i="1"/>
  <c r="CK218" i="1"/>
  <c r="BZ245" i="1"/>
  <c r="AJ212" i="1"/>
  <c r="AI218" i="1"/>
  <c r="W218" i="1"/>
  <c r="V218" i="1"/>
  <c r="E236" i="1"/>
  <c r="E235" i="1"/>
  <c r="E163" i="1"/>
  <c r="AE161" i="1"/>
  <c r="CK117" i="1"/>
  <c r="BZ125" i="1"/>
  <c r="E125" i="1"/>
  <c r="F154" i="1"/>
  <c r="I153" i="1"/>
  <c r="BA104" i="1"/>
  <c r="E105" i="1"/>
  <c r="BA77" i="1"/>
  <c r="E78" i="1"/>
  <c r="P231" i="1"/>
  <c r="E217" i="1"/>
  <c r="CA64" i="1"/>
  <c r="BZ65" i="1"/>
  <c r="CA42" i="1"/>
  <c r="BZ43" i="1"/>
  <c r="E133" i="1"/>
  <c r="E131" i="1"/>
  <c r="E88" i="1"/>
  <c r="E87" i="1"/>
  <c r="BA111" i="1"/>
  <c r="BB110" i="1"/>
  <c r="E91" i="1"/>
  <c r="E300" i="1"/>
  <c r="BA299" i="1"/>
  <c r="F303" i="1"/>
  <c r="E304" i="1"/>
  <c r="E46" i="1"/>
  <c r="F45" i="1"/>
  <c r="E43" i="1"/>
  <c r="CA130" i="1"/>
  <c r="BZ131" i="1"/>
  <c r="E135" i="1"/>
  <c r="F79" i="1"/>
  <c r="E80" i="1"/>
  <c r="BA73" i="1"/>
  <c r="E74" i="1"/>
  <c r="E62" i="1"/>
  <c r="F134" i="1"/>
  <c r="BZ86" i="1"/>
  <c r="BA75" i="1"/>
  <c r="E86" i="1"/>
  <c r="BF63" i="1"/>
  <c r="F82" i="1"/>
  <c r="F139" i="1"/>
  <c r="E140" i="1"/>
  <c r="E119" i="1"/>
  <c r="F118" i="1"/>
  <c r="E60" i="1"/>
  <c r="E296" i="1" l="1"/>
  <c r="BR305" i="1"/>
  <c r="BO305" i="1"/>
  <c r="BP305" i="1"/>
  <c r="BT305" i="1"/>
  <c r="AG305" i="1"/>
  <c r="BZ292" i="1"/>
  <c r="L305" i="1"/>
  <c r="D221" i="1"/>
  <c r="BA99" i="1"/>
  <c r="BV305" i="1"/>
  <c r="BQ305" i="1"/>
  <c r="BC305" i="1"/>
  <c r="BZ215" i="1"/>
  <c r="BS305" i="1"/>
  <c r="CF305" i="1"/>
  <c r="BW305" i="1"/>
  <c r="P152" i="1"/>
  <c r="AF305" i="1"/>
  <c r="AN305" i="1"/>
  <c r="BI305" i="1"/>
  <c r="BH305" i="1"/>
  <c r="E215" i="1"/>
  <c r="CK152" i="1"/>
  <c r="AO305" i="1"/>
  <c r="AL305" i="1"/>
  <c r="AV305" i="1"/>
  <c r="BL305" i="1"/>
  <c r="E292" i="1"/>
  <c r="F278" i="1"/>
  <c r="AT305" i="1"/>
  <c r="CC305" i="1"/>
  <c r="AD305" i="1"/>
  <c r="BZ278" i="1"/>
  <c r="M305" i="1"/>
  <c r="S305" i="1"/>
  <c r="I277" i="1"/>
  <c r="BU305" i="1"/>
  <c r="AB305" i="1"/>
  <c r="AU305" i="1"/>
  <c r="CI305" i="1"/>
  <c r="CB152" i="1"/>
  <c r="Q305" i="1"/>
  <c r="CM305" i="1"/>
  <c r="BD305" i="1"/>
  <c r="BG305" i="1"/>
  <c r="AH212" i="1"/>
  <c r="BE305" i="1"/>
  <c r="AW305" i="1"/>
  <c r="CA99" i="1"/>
  <c r="AR305" i="1"/>
  <c r="BY305" i="1"/>
  <c r="AS305" i="1"/>
  <c r="AQ305" i="1"/>
  <c r="AJ305" i="1"/>
  <c r="CO305" i="1"/>
  <c r="H305" i="1"/>
  <c r="AM305" i="1"/>
  <c r="AP305" i="1"/>
  <c r="G305" i="1"/>
  <c r="K305" i="1"/>
  <c r="BX305" i="1"/>
  <c r="AX305" i="1"/>
  <c r="I152" i="1"/>
  <c r="U152" i="1"/>
  <c r="BA152" i="1"/>
  <c r="AE152" i="1"/>
  <c r="F99" i="1"/>
  <c r="E287" i="1"/>
  <c r="F277" i="1"/>
  <c r="E85" i="1"/>
  <c r="BZ85" i="1"/>
  <c r="AE277" i="1"/>
  <c r="BA55" i="1"/>
  <c r="E94" i="1"/>
  <c r="CA55" i="1"/>
  <c r="D240" i="1"/>
  <c r="F55" i="1"/>
  <c r="BZ112" i="1"/>
  <c r="E100" i="1"/>
  <c r="E112" i="1"/>
  <c r="BZ100" i="1"/>
  <c r="E32" i="1"/>
  <c r="BK212" i="1"/>
  <c r="BZ79" i="1"/>
  <c r="BZ71" i="1"/>
  <c r="BZ110" i="1"/>
  <c r="F115" i="1"/>
  <c r="F96" i="1"/>
  <c r="CB117" i="1"/>
  <c r="E38" i="1"/>
  <c r="AE106" i="1"/>
  <c r="E116" i="1"/>
  <c r="BZ172" i="1"/>
  <c r="BZ69" i="1"/>
  <c r="E49" i="1"/>
  <c r="BZ104" i="1"/>
  <c r="F93" i="1"/>
  <c r="BZ47" i="1"/>
  <c r="E47" i="1"/>
  <c r="F164" i="1"/>
  <c r="E124" i="1"/>
  <c r="BZ59" i="1"/>
  <c r="E182" i="1"/>
  <c r="E301" i="1"/>
  <c r="E170" i="1"/>
  <c r="BZ303" i="1"/>
  <c r="BA274" i="1"/>
  <c r="BZ299" i="1"/>
  <c r="BZ301" i="1"/>
  <c r="BZ26" i="1"/>
  <c r="E51" i="1"/>
  <c r="E297" i="1"/>
  <c r="D173" i="1"/>
  <c r="CA122" i="1"/>
  <c r="E213" i="1"/>
  <c r="CA96" i="1"/>
  <c r="CA93" i="1"/>
  <c r="BZ94" i="1"/>
  <c r="E158" i="1"/>
  <c r="BZ162" i="1"/>
  <c r="BA181" i="1"/>
  <c r="CA106" i="1"/>
  <c r="E167" i="1"/>
  <c r="BZ82" i="1"/>
  <c r="BZ164" i="1"/>
  <c r="D198" i="1"/>
  <c r="D271" i="1"/>
  <c r="BF212" i="1"/>
  <c r="BN212" i="1"/>
  <c r="D249" i="1"/>
  <c r="E272" i="1"/>
  <c r="D239" i="1"/>
  <c r="BZ290" i="1"/>
  <c r="D225" i="1"/>
  <c r="D264" i="1"/>
  <c r="D265" i="1"/>
  <c r="D259" i="1"/>
  <c r="D291" i="1"/>
  <c r="D246" i="1"/>
  <c r="BZ270" i="1"/>
  <c r="BZ213" i="1"/>
  <c r="CE212" i="1"/>
  <c r="AZ212" i="1"/>
  <c r="AC212" i="1"/>
  <c r="D302" i="1"/>
  <c r="D260" i="1"/>
  <c r="D262" i="1"/>
  <c r="D191" i="1"/>
  <c r="E183" i="1"/>
  <c r="CA161" i="1"/>
  <c r="D247" i="1"/>
  <c r="D144" i="1"/>
  <c r="E177" i="1"/>
  <c r="I138" i="1"/>
  <c r="D179" i="1"/>
  <c r="BB212" i="1"/>
  <c r="D121" i="1"/>
  <c r="D120" i="1"/>
  <c r="E107" i="1"/>
  <c r="E209" i="1"/>
  <c r="D214" i="1"/>
  <c r="Z212" i="1"/>
  <c r="D176" i="1"/>
  <c r="D237" i="1"/>
  <c r="D293" i="1"/>
  <c r="CA208" i="1"/>
  <c r="D148" i="1"/>
  <c r="BZ185" i="1"/>
  <c r="D233" i="1"/>
  <c r="J212" i="1"/>
  <c r="BZ143" i="1"/>
  <c r="F122" i="1"/>
  <c r="D211" i="1"/>
  <c r="D273" i="1"/>
  <c r="E290" i="1"/>
  <c r="BA93" i="1"/>
  <c r="CA174" i="1"/>
  <c r="BZ107" i="1"/>
  <c r="D108" i="1"/>
  <c r="BZ297" i="1"/>
  <c r="F75" i="1"/>
  <c r="BA208" i="1"/>
  <c r="D241" i="1"/>
  <c r="D228" i="1"/>
  <c r="D196" i="1"/>
  <c r="I161" i="1"/>
  <c r="D67" i="1"/>
  <c r="BZ272" i="1"/>
  <c r="D184" i="1"/>
  <c r="D52" i="1"/>
  <c r="CA277" i="1"/>
  <c r="E76" i="1"/>
  <c r="T212" i="1"/>
  <c r="D253" i="1"/>
  <c r="U174" i="1"/>
  <c r="D127" i="1"/>
  <c r="D95" i="1"/>
  <c r="D169" i="1"/>
  <c r="BZ167" i="1"/>
  <c r="D219" i="1"/>
  <c r="BZ187" i="1"/>
  <c r="D171" i="1"/>
  <c r="BZ97" i="1"/>
  <c r="D136" i="1"/>
  <c r="D48" i="1"/>
  <c r="BZ295" i="1"/>
  <c r="E172" i="1"/>
  <c r="BZ51" i="1"/>
  <c r="AE12" i="1"/>
  <c r="AE138" i="1"/>
  <c r="BZ75" i="1"/>
  <c r="D263" i="1"/>
  <c r="BZ134" i="1"/>
  <c r="D186" i="1"/>
  <c r="D210" i="1"/>
  <c r="D145" i="1"/>
  <c r="E143" i="1"/>
  <c r="D128" i="1"/>
  <c r="E185" i="1"/>
  <c r="E256" i="1"/>
  <c r="D178" i="1"/>
  <c r="D193" i="1"/>
  <c r="BZ115" i="1"/>
  <c r="BZ170" i="1"/>
  <c r="D195" i="1"/>
  <c r="BZ209" i="1"/>
  <c r="BZ66" i="1"/>
  <c r="BZ197" i="1"/>
  <c r="D151" i="1"/>
  <c r="D180" i="1"/>
  <c r="Y212" i="1"/>
  <c r="BZ256" i="1"/>
  <c r="D269" i="1"/>
  <c r="E17" i="1"/>
  <c r="F15" i="1"/>
  <c r="E13" i="1"/>
  <c r="E40" i="1"/>
  <c r="D163" i="1"/>
  <c r="F146" i="1"/>
  <c r="BA161" i="1"/>
  <c r="F197" i="1"/>
  <c r="E39" i="1"/>
  <c r="E21" i="1"/>
  <c r="BZ30" i="1"/>
  <c r="F64" i="1"/>
  <c r="D252" i="1"/>
  <c r="E53" i="1"/>
  <c r="CA44" i="1"/>
  <c r="E187" i="1"/>
  <c r="D50" i="1"/>
  <c r="BZ118" i="1"/>
  <c r="E33" i="1"/>
  <c r="CA58" i="1"/>
  <c r="D14" i="1"/>
  <c r="D166" i="1"/>
  <c r="D57" i="1"/>
  <c r="D298" i="1"/>
  <c r="BZ132" i="1"/>
  <c r="BZ56" i="1"/>
  <c r="BZ124" i="1"/>
  <c r="E270" i="1"/>
  <c r="BZ61" i="1"/>
  <c r="D133" i="1"/>
  <c r="E69" i="1"/>
  <c r="CA73" i="1"/>
  <c r="U218" i="1"/>
  <c r="CB12" i="1"/>
  <c r="AE218" i="1"/>
  <c r="I218" i="1"/>
  <c r="E71" i="1"/>
  <c r="E16" i="1"/>
  <c r="D83" i="1"/>
  <c r="D199" i="1"/>
  <c r="E97" i="1"/>
  <c r="BA218" i="1"/>
  <c r="D201" i="1"/>
  <c r="CB218" i="1"/>
  <c r="D150" i="1"/>
  <c r="D24" i="1"/>
  <c r="BZ53" i="1"/>
  <c r="E66" i="1"/>
  <c r="BZ33" i="1"/>
  <c r="D168" i="1"/>
  <c r="BZ177" i="1"/>
  <c r="F208" i="1"/>
  <c r="BZ183" i="1"/>
  <c r="BZ40" i="1"/>
  <c r="F274" i="1"/>
  <c r="E275" i="1"/>
  <c r="BZ49" i="1"/>
  <c r="BZ181" i="1"/>
  <c r="E165" i="1"/>
  <c r="BZ77" i="1"/>
  <c r="E56" i="1"/>
  <c r="BZ189" i="1"/>
  <c r="D98" i="1"/>
  <c r="D188" i="1"/>
  <c r="D34" i="1"/>
  <c r="F19" i="1"/>
  <c r="CA19" i="1"/>
  <c r="E82" i="1"/>
  <c r="D54" i="1"/>
  <c r="BZ74" i="1"/>
  <c r="BA189" i="1"/>
  <c r="D22" i="1"/>
  <c r="D68" i="1"/>
  <c r="BZ139" i="1"/>
  <c r="BN12" i="1"/>
  <c r="F231" i="1"/>
  <c r="D70" i="1"/>
  <c r="E65" i="1"/>
  <c r="BZ13" i="1"/>
  <c r="D157" i="1"/>
  <c r="F35" i="1"/>
  <c r="BA19" i="1"/>
  <c r="BA117" i="1"/>
  <c r="BA15" i="1"/>
  <c r="I12" i="1"/>
  <c r="BN174" i="1"/>
  <c r="P12" i="1"/>
  <c r="BZ275" i="1"/>
  <c r="D276" i="1"/>
  <c r="D251" i="1"/>
  <c r="BZ45" i="1"/>
  <c r="CB63" i="1"/>
  <c r="D190" i="1"/>
  <c r="BA96" i="1"/>
  <c r="CA274" i="1"/>
  <c r="AE117" i="1"/>
  <c r="E295" i="1"/>
  <c r="D37" i="1"/>
  <c r="E26" i="1"/>
  <c r="D31" i="1"/>
  <c r="D72" i="1"/>
  <c r="D234" i="1"/>
  <c r="D27" i="1"/>
  <c r="BZ254" i="1"/>
  <c r="E130" i="1"/>
  <c r="D20" i="1"/>
  <c r="E30" i="1"/>
  <c r="D131" i="1"/>
  <c r="BZ35" i="1"/>
  <c r="D36" i="1"/>
  <c r="BA44" i="1"/>
  <c r="BA277" i="1"/>
  <c r="D91" i="1"/>
  <c r="BB106" i="1"/>
  <c r="D87" i="1"/>
  <c r="E147" i="1"/>
  <c r="E192" i="1"/>
  <c r="AK212" i="1"/>
  <c r="I63" i="1"/>
  <c r="D123" i="1"/>
  <c r="D248" i="1"/>
  <c r="CA231" i="1"/>
  <c r="D18" i="1"/>
  <c r="BA138" i="1"/>
  <c r="D244" i="1"/>
  <c r="BA58" i="1"/>
  <c r="CB138" i="1"/>
  <c r="D250" i="1"/>
  <c r="D242" i="1"/>
  <c r="U12" i="1"/>
  <c r="F44" i="1"/>
  <c r="BZ64" i="1"/>
  <c r="D135" i="1"/>
  <c r="D88" i="1"/>
  <c r="BA81" i="1"/>
  <c r="E132" i="1"/>
  <c r="BZ42" i="1"/>
  <c r="X212" i="1"/>
  <c r="E155" i="1"/>
  <c r="BZ158" i="1"/>
  <c r="CA156" i="1"/>
  <c r="D137" i="1"/>
  <c r="D238" i="1"/>
  <c r="D90" i="1"/>
  <c r="D149" i="1"/>
  <c r="AE63" i="1"/>
  <c r="D232" i="1"/>
  <c r="D25" i="1"/>
  <c r="E194" i="1"/>
  <c r="CA146" i="1"/>
  <c r="BZ147" i="1"/>
  <c r="D243" i="1"/>
  <c r="E59" i="1"/>
  <c r="CA81" i="1"/>
  <c r="BZ130" i="1"/>
  <c r="BZ255" i="1"/>
  <c r="F126" i="1"/>
  <c r="E129" i="1"/>
  <c r="BZ15" i="1"/>
  <c r="E255" i="1"/>
  <c r="CD212" i="1"/>
  <c r="U63" i="1"/>
  <c r="AA212" i="1"/>
  <c r="E207" i="1"/>
  <c r="R212" i="1"/>
  <c r="D29" i="1"/>
  <c r="D142" i="1"/>
  <c r="D202" i="1"/>
  <c r="D203" i="1"/>
  <c r="D141" i="1"/>
  <c r="D206" i="1"/>
  <c r="F58" i="1"/>
  <c r="D204" i="1"/>
  <c r="D205" i="1"/>
  <c r="D28" i="1"/>
  <c r="E254" i="1"/>
  <c r="BZ154" i="1"/>
  <c r="CA153" i="1"/>
  <c r="F156" i="1"/>
  <c r="E227" i="1"/>
  <c r="D200" i="1"/>
  <c r="D84" i="1"/>
  <c r="BZ126" i="1"/>
  <c r="D23" i="1"/>
  <c r="D296" i="1"/>
  <c r="P218" i="1"/>
  <c r="O212" i="1"/>
  <c r="N212" i="1"/>
  <c r="D175" i="1"/>
  <c r="D245" i="1"/>
  <c r="CK212" i="1"/>
  <c r="AI212" i="1"/>
  <c r="W212" i="1"/>
  <c r="V212" i="1"/>
  <c r="D236" i="1"/>
  <c r="D235" i="1"/>
  <c r="E162" i="1"/>
  <c r="D125" i="1"/>
  <c r="E104" i="1"/>
  <c r="D105" i="1"/>
  <c r="E77" i="1"/>
  <c r="D78" i="1"/>
  <c r="E154" i="1"/>
  <c r="F153" i="1"/>
  <c r="D217" i="1"/>
  <c r="E134" i="1"/>
  <c r="E111" i="1"/>
  <c r="BA110" i="1"/>
  <c r="F81" i="1"/>
  <c r="BA63" i="1"/>
  <c r="D300" i="1"/>
  <c r="E299" i="1"/>
  <c r="D304" i="1"/>
  <c r="E303" i="1"/>
  <c r="D86" i="1"/>
  <c r="D62" i="1"/>
  <c r="E61" i="1"/>
  <c r="E73" i="1"/>
  <c r="E79" i="1"/>
  <c r="D80" i="1"/>
  <c r="E42" i="1"/>
  <c r="D43" i="1"/>
  <c r="E45" i="1"/>
  <c r="D46" i="1"/>
  <c r="D140" i="1"/>
  <c r="E139" i="1"/>
  <c r="D119" i="1"/>
  <c r="E118" i="1"/>
  <c r="D60" i="1"/>
  <c r="CK305" i="1" l="1"/>
  <c r="BF305" i="1"/>
  <c r="AZ305" i="1"/>
  <c r="AK305" i="1"/>
  <c r="R305" i="1"/>
  <c r="CE305" i="1"/>
  <c r="N305" i="1"/>
  <c r="D292" i="1"/>
  <c r="AH305" i="1"/>
  <c r="O305" i="1"/>
  <c r="AA305" i="1"/>
  <c r="E278" i="1"/>
  <c r="BK305" i="1"/>
  <c r="BB305" i="1"/>
  <c r="CD305" i="1"/>
  <c r="J305" i="1"/>
  <c r="D32" i="1"/>
  <c r="E93" i="1"/>
  <c r="AI305" i="1"/>
  <c r="T305" i="1"/>
  <c r="AC305" i="1"/>
  <c r="Z305" i="1"/>
  <c r="Y305" i="1"/>
  <c r="X305" i="1"/>
  <c r="W305" i="1"/>
  <c r="V305" i="1"/>
  <c r="D256" i="1"/>
  <c r="BN305" i="1"/>
  <c r="D215" i="1"/>
  <c r="D287" i="1"/>
  <c r="E99" i="1"/>
  <c r="CA152" i="1"/>
  <c r="F152" i="1"/>
  <c r="BZ99" i="1"/>
  <c r="D85" i="1"/>
  <c r="BZ55" i="1"/>
  <c r="E55" i="1"/>
  <c r="D112" i="1"/>
  <c r="D100" i="1"/>
  <c r="D17" i="1"/>
  <c r="D38" i="1"/>
  <c r="D116" i="1"/>
  <c r="F106" i="1"/>
  <c r="E115" i="1"/>
  <c r="E122" i="1"/>
  <c r="D182" i="1"/>
  <c r="CA117" i="1"/>
  <c r="F161" i="1"/>
  <c r="BZ19" i="1"/>
  <c r="D172" i="1"/>
  <c r="BZ93" i="1"/>
  <c r="E15" i="1"/>
  <c r="D21" i="1"/>
  <c r="F138" i="1"/>
  <c r="E164" i="1"/>
  <c r="D124" i="1"/>
  <c r="D47" i="1"/>
  <c r="D170" i="1"/>
  <c r="D94" i="1"/>
  <c r="E75" i="1"/>
  <c r="D270" i="1"/>
  <c r="E181" i="1"/>
  <c r="D76" i="1"/>
  <c r="BZ106" i="1"/>
  <c r="D301" i="1"/>
  <c r="D290" i="1"/>
  <c r="D209" i="1"/>
  <c r="E208" i="1"/>
  <c r="D177" i="1"/>
  <c r="D272" i="1"/>
  <c r="BZ208" i="1"/>
  <c r="D162" i="1"/>
  <c r="CB212" i="1"/>
  <c r="F174" i="1"/>
  <c r="D183" i="1"/>
  <c r="D213" i="1"/>
  <c r="D107" i="1"/>
  <c r="BZ122" i="1"/>
  <c r="U212" i="1"/>
  <c r="AE212" i="1"/>
  <c r="D185" i="1"/>
  <c r="BZ161" i="1"/>
  <c r="D132" i="1"/>
  <c r="F63" i="1"/>
  <c r="D51" i="1"/>
  <c r="E35" i="1"/>
  <c r="D143" i="1"/>
  <c r="BZ96" i="1"/>
  <c r="F218" i="1"/>
  <c r="I212" i="1"/>
  <c r="D39" i="1"/>
  <c r="BZ58" i="1"/>
  <c r="CA63" i="1"/>
  <c r="D33" i="1"/>
  <c r="D16" i="1"/>
  <c r="D130" i="1"/>
  <c r="D71" i="1"/>
  <c r="BZ277" i="1"/>
  <c r="D69" i="1"/>
  <c r="D167" i="1"/>
  <c r="BZ73" i="1"/>
  <c r="D97" i="1"/>
  <c r="E274" i="1"/>
  <c r="D40" i="1"/>
  <c r="D26" i="1"/>
  <c r="D65" i="1"/>
  <c r="D66" i="1"/>
  <c r="BA174" i="1"/>
  <c r="D53" i="1"/>
  <c r="CA12" i="1"/>
  <c r="D187" i="1"/>
  <c r="BZ174" i="1"/>
  <c r="D165" i="1"/>
  <c r="BA212" i="1"/>
  <c r="E96" i="1"/>
  <c r="D297" i="1"/>
  <c r="D56" i="1"/>
  <c r="D13" i="1"/>
  <c r="D49" i="1"/>
  <c r="D74" i="1"/>
  <c r="F12" i="1"/>
  <c r="E64" i="1"/>
  <c r="BA12" i="1"/>
  <c r="BZ44" i="1"/>
  <c r="D275" i="1"/>
  <c r="BZ274" i="1"/>
  <c r="F117" i="1"/>
  <c r="BZ231" i="1"/>
  <c r="D30" i="1"/>
  <c r="E19" i="1"/>
  <c r="E231" i="1"/>
  <c r="E58" i="1"/>
  <c r="BZ153" i="1"/>
  <c r="D45" i="1"/>
  <c r="D303" i="1"/>
  <c r="E44" i="1"/>
  <c r="D61" i="1"/>
  <c r="E81" i="1"/>
  <c r="BA106" i="1"/>
  <c r="D254" i="1"/>
  <c r="BZ81" i="1"/>
  <c r="CA218" i="1"/>
  <c r="D139" i="1"/>
  <c r="E277" i="1"/>
  <c r="D227" i="1"/>
  <c r="D42" i="1"/>
  <c r="D59" i="1"/>
  <c r="D118" i="1"/>
  <c r="D79" i="1"/>
  <c r="D299" i="1"/>
  <c r="D104" i="1"/>
  <c r="D207" i="1"/>
  <c r="E197" i="1"/>
  <c r="D255" i="1"/>
  <c r="D194" i="1"/>
  <c r="D147" i="1"/>
  <c r="E146" i="1"/>
  <c r="D134" i="1"/>
  <c r="E126" i="1"/>
  <c r="D129" i="1"/>
  <c r="BZ146" i="1"/>
  <c r="BZ156" i="1"/>
  <c r="D158" i="1"/>
  <c r="D192" i="1"/>
  <c r="E189" i="1"/>
  <c r="D77" i="1"/>
  <c r="E156" i="1"/>
  <c r="CA138" i="1"/>
  <c r="D155" i="1"/>
  <c r="D82" i="1"/>
  <c r="D295" i="1"/>
  <c r="P212" i="1"/>
  <c r="D154" i="1"/>
  <c r="E153" i="1"/>
  <c r="D111" i="1"/>
  <c r="E110" i="1"/>
  <c r="P305" i="1" l="1"/>
  <c r="I305" i="1"/>
  <c r="CB305" i="1"/>
  <c r="AE305" i="1"/>
  <c r="U305" i="1"/>
  <c r="BA305" i="1"/>
  <c r="D278" i="1"/>
  <c r="D277" i="1" s="1"/>
  <c r="E152" i="1"/>
  <c r="BZ152" i="1"/>
  <c r="D99" i="1"/>
  <c r="D55" i="1"/>
  <c r="D122" i="1"/>
  <c r="D115" i="1"/>
  <c r="E161" i="1"/>
  <c r="D93" i="1"/>
  <c r="D181" i="1"/>
  <c r="D15" i="1"/>
  <c r="BZ12" i="1"/>
  <c r="BZ63" i="1"/>
  <c r="BZ117" i="1"/>
  <c r="D75" i="1"/>
  <c r="D208" i="1"/>
  <c r="F212" i="1"/>
  <c r="D73" i="1"/>
  <c r="D96" i="1"/>
  <c r="D64" i="1"/>
  <c r="D35" i="1"/>
  <c r="E218" i="1"/>
  <c r="D19" i="1"/>
  <c r="E63" i="1"/>
  <c r="BZ218" i="1"/>
  <c r="D164" i="1"/>
  <c r="D274" i="1"/>
  <c r="E117" i="1"/>
  <c r="E12" i="1"/>
  <c r="D231" i="1"/>
  <c r="D110" i="1"/>
  <c r="D44" i="1"/>
  <c r="D58" i="1"/>
  <c r="D81" i="1"/>
  <c r="D189" i="1"/>
  <c r="D197" i="1"/>
  <c r="D126" i="1"/>
  <c r="D146" i="1"/>
  <c r="E138" i="1"/>
  <c r="E106" i="1"/>
  <c r="D153" i="1"/>
  <c r="D156" i="1"/>
  <c r="CA212" i="1"/>
  <c r="E174" i="1"/>
  <c r="BZ138" i="1"/>
  <c r="CA305" i="1" l="1"/>
  <c r="F305" i="1"/>
  <c r="D218" i="1"/>
  <c r="D152" i="1"/>
  <c r="D12" i="1"/>
  <c r="BZ212" i="1"/>
  <c r="D63" i="1"/>
  <c r="D161" i="1"/>
  <c r="D117" i="1"/>
  <c r="E212" i="1"/>
  <c r="D106" i="1"/>
  <c r="D138" i="1"/>
  <c r="D174" i="1"/>
  <c r="BZ305" i="1" l="1"/>
  <c r="E305" i="1"/>
  <c r="D212" i="1"/>
  <c r="D305" i="1" l="1"/>
  <c r="D308" i="1" s="1"/>
</calcChain>
</file>

<file path=xl/sharedStrings.xml><?xml version="1.0" encoding="utf-8"?>
<sst xmlns="http://schemas.openxmlformats.org/spreadsheetml/2006/main" count="1057" uniqueCount="622">
  <si>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</si>
  <si>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</si>
  <si>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</si>
  <si>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</si>
  <si>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</si>
  <si>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</si>
  <si>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</si>
  <si>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</si>
  <si>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</si>
  <si>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</si>
  <si>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Оплата газа</t>
  </si>
  <si>
    <t>Книги и период. издания</t>
  </si>
  <si>
    <t>Стипендии</t>
  </si>
  <si>
    <t>Пенсии и пособия, возмещаемые из бюджета</t>
  </si>
  <si>
    <t>Денежные компенсации</t>
  </si>
  <si>
    <t>Всего</t>
  </si>
  <si>
    <t>Мягкий инвент. и обмундир.</t>
  </si>
  <si>
    <t>Проч. расх. мат-лы и предм. снаб-я</t>
  </si>
  <si>
    <t>ТРАНСП. УСЛУГИ</t>
  </si>
  <si>
    <t>ОПЛАТА КОММУН. УСЛУГ</t>
  </si>
  <si>
    <t>ПРОЧ. ТЕК. РАСХ. НА ЗАКУП. ТОВ. И ОПЛ. УСЛУГ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</si>
  <si>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</si>
  <si>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</si>
  <si>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</si>
  <si>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</si>
  <si>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</si>
  <si>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</si>
  <si>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Молоч. смеси для детей</t>
  </si>
  <si>
    <t>Проч. тр-ты на прод. и услуги</t>
  </si>
  <si>
    <t>Трансферты на произв. цели</t>
  </si>
  <si>
    <t>Тр-ты фин. учр. и др. орг-циям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</si>
  <si>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</si>
  <si>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</si>
  <si>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</si>
  <si>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Оплата квартир и комм. услуг</t>
  </si>
  <si>
    <t>Прочие тр-ты населению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</si>
  <si>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</si>
  <si>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</si>
  <si>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</si>
  <si>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</si>
  <si>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</si>
  <si>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</si>
  <si>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</si>
  <si>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</si>
  <si>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</si>
  <si>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</si>
  <si>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</si>
  <si>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</si>
  <si>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</si>
  <si>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</si>
  <si>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</si>
  <si>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</si>
  <si>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</si>
  <si>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</si>
  <si>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</si>
  <si>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</si>
  <si>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</si>
  <si>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</si>
  <si>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</si>
  <si>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</si>
  <si>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</si>
  <si>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</si>
  <si>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</si>
  <si>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</si>
  <si>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</si>
  <si>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</si>
  <si>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</si>
  <si>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</si>
  <si>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</si>
  <si>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</si>
  <si>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</si>
  <si>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</si>
  <si>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</si>
  <si>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</si>
  <si>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</si>
  <si>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</si>
  <si>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</si>
  <si>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</si>
  <si>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</si>
  <si>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</si>
  <si>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</si>
  <si>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</si>
  <si>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</si>
  <si>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</si>
  <si>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</si>
  <si>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</si>
  <si>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</si>
  <si>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</si>
  <si>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</si>
  <si>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</si>
  <si>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</si>
  <si>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</si>
  <si>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</si>
  <si>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</si>
  <si>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</si>
  <si>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</si>
  <si>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</si>
  <si>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</si>
  <si>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</si>
  <si>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</si>
  <si>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</si>
  <si>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</si>
  <si>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</si>
  <si>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</si>
  <si>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</si>
  <si>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</si>
  <si>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</si>
  <si>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</si>
  <si>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</si>
  <si>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</si>
  <si>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</si>
  <si>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</si>
  <si>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</si>
  <si>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</si>
  <si>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</si>
  <si>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</si>
  <si>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</si>
  <si>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</si>
  <si>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</si>
  <si>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</si>
  <si>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</si>
  <si>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</si>
  <si>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</si>
  <si>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</si>
  <si>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</si>
  <si>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</si>
  <si>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</si>
  <si>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</si>
  <si>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</si>
  <si>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</si>
  <si>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</si>
  <si>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</si>
  <si>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</si>
  <si>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</si>
  <si>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</si>
  <si>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</si>
  <si>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</si>
  <si>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</si>
  <si>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</si>
  <si>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</si>
  <si>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</si>
  <si>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</si>
  <si>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</si>
  <si>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</si>
  <si>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</si>
  <si>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</si>
  <si>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</si>
  <si>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</si>
  <si>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</si>
  <si>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</si>
  <si>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</si>
  <si>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</si>
  <si>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</si>
  <si>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</si>
  <si>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</si>
  <si>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</si>
  <si>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</si>
  <si>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</si>
  <si>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</si>
  <si>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</si>
  <si>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</si>
  <si>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</si>
  <si>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</si>
  <si>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</si>
  <si>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</si>
  <si>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</si>
  <si>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</si>
  <si>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</si>
  <si>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</si>
  <si>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</si>
  <si>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</si>
  <si>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</si>
  <si>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</si>
  <si>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</si>
  <si>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</si>
  <si>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</si>
  <si>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</si>
  <si>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</si>
  <si>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</si>
  <si>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</si>
  <si>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</si>
  <si>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</si>
  <si>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</si>
  <si>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</si>
  <si>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</si>
  <si>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</si>
  <si>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</si>
  <si>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</si>
  <si>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</si>
  <si>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</si>
  <si>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</si>
  <si>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</si>
  <si>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</si>
  <si>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</si>
  <si>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</si>
  <si>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</si>
  <si>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</si>
  <si>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</si>
  <si>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</si>
  <si>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</si>
  <si>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</si>
  <si>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</si>
  <si>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</si>
  <si>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</si>
  <si>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</si>
  <si>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</si>
  <si>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</si>
  <si>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</si>
  <si>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</si>
  <si>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</si>
  <si>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</si>
  <si>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</si>
  <si>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</si>
  <si>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</si>
  <si>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</si>
  <si>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</si>
  <si>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</si>
  <si>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</si>
  <si>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</si>
  <si>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</si>
  <si>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</si>
  <si>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</si>
  <si>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</si>
  <si>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</si>
  <si>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</si>
  <si>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</si>
  <si>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</si>
  <si>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</si>
  <si>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</si>
  <si>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</si>
  <si>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</si>
  <si>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</si>
  <si>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</si>
  <si>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</si>
  <si>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</si>
  <si>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</si>
  <si>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</si>
  <si>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</si>
  <si>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</si>
  <si>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</si>
  <si>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</si>
  <si>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</si>
  <si>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</si>
  <si>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</si>
  <si>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</si>
  <si>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</si>
  <si>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</si>
  <si>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</si>
  <si>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</si>
  <si>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</si>
  <si>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</si>
  <si>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</si>
  <si>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</si>
  <si>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</si>
  <si>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</si>
  <si>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</si>
  <si>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</si>
  <si>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</si>
  <si>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</si>
  <si>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</si>
  <si>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</si>
  <si>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</si>
  <si>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</si>
  <si>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</si>
  <si>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</si>
  <si>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</si>
  <si>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</si>
  <si>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</si>
  <si>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</si>
  <si>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</si>
  <si>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</si>
  <si>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</si>
  <si>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</si>
  <si>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</si>
  <si>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</si>
  <si>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</si>
  <si>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</si>
  <si>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</si>
  <si>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</si>
  <si>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</si>
  <si>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</si>
  <si>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</si>
  <si>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</si>
  <si>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</si>
  <si>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</si>
  <si>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</si>
  <si>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</si>
  <si>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</si>
  <si>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</si>
  <si>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</si>
  <si>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</si>
  <si>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</si>
  <si>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</si>
  <si>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</si>
  <si>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</si>
  <si>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</si>
  <si>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</si>
  <si>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</si>
  <si>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</si>
  <si>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</si>
  <si>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</si>
  <si>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</si>
  <si>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</si>
  <si>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</si>
  <si>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</si>
  <si>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</si>
  <si>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</si>
  <si>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</si>
  <si>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</si>
  <si>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</si>
  <si>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</si>
  <si>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</si>
  <si>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</si>
  <si>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</si>
  <si>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</si>
  <si>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</si>
  <si>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</si>
  <si>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</si>
  <si>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</si>
  <si>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</si>
  <si>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</si>
  <si>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</si>
  <si>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</si>
  <si>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</si>
  <si>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</si>
  <si>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</si>
  <si>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</si>
  <si>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</si>
  <si>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</si>
  <si>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</si>
  <si>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</si>
  <si>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</si>
  <si>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</si>
  <si>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</si>
  <si>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</si>
  <si>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</si>
  <si>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</si>
  <si>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</si>
  <si>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</si>
  <si>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</si>
  <si>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</si>
  <si>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</si>
  <si>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</si>
  <si>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</si>
  <si>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</si>
  <si>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</si>
  <si>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</si>
  <si>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</si>
  <si>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</si>
  <si>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</si>
  <si>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</si>
  <si>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</si>
  <si>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</si>
  <si>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</si>
  <si>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</si>
  <si>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</si>
  <si>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</si>
  <si>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</si>
  <si>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</si>
  <si>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</si>
  <si>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</si>
  <si>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</si>
  <si>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</si>
  <si>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</si>
  <si>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</si>
  <si>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</si>
  <si>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</si>
  <si>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</si>
  <si>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</si>
  <si>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</si>
  <si>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</si>
  <si>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</si>
  <si>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</si>
  <si>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</si>
  <si>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</si>
  <si>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</si>
  <si>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</si>
  <si>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</si>
  <si>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</si>
  <si>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</si>
  <si>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</si>
  <si>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</si>
  <si>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</si>
  <si>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</si>
  <si>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</si>
  <si>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</si>
  <si>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</si>
  <si>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</si>
  <si>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</si>
  <si>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</si>
  <si>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</si>
  <si>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</si>
  <si>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</si>
  <si>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</si>
  <si>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</si>
  <si>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</si>
  <si>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</si>
  <si>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</si>
  <si>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</si>
  <si>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</si>
  <si>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</si>
  <si>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</si>
  <si>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</si>
  <si>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</si>
  <si>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</si>
  <si>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</si>
  <si>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</si>
  <si>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</si>
  <si>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</si>
  <si>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</si>
  <si>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</si>
  <si>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</si>
  <si>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</si>
  <si>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</si>
  <si>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</si>
  <si>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</si>
  <si>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</si>
  <si>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</si>
  <si>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</si>
  <si>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</si>
  <si>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</si>
  <si>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</si>
  <si>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</si>
  <si>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</si>
  <si>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</si>
  <si>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</si>
  <si>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</si>
  <si>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</si>
  <si>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</si>
  <si>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</si>
  <si>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</si>
  <si>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КАПИТ. РАСХОДЫ</t>
  </si>
  <si>
    <t>Капитальн. ремонт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</si>
  <si>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</si>
  <si>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</si>
  <si>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</si>
  <si>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</si>
  <si>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</si>
  <si>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</si>
  <si>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ТРАНСФЕР-ТЫ НАСЕЛЕ-НИЮ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</si>
  <si>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</si>
  <si>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</si>
  <si>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</si>
  <si>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</si>
  <si>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</si>
  <si>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</si>
  <si>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</si>
  <si>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</si>
  <si>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</si>
  <si>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</si>
  <si>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</si>
  <si>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</si>
  <si>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</si>
  <si>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</si>
  <si>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</si>
  <si>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</si>
  <si>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</si>
  <si>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</si>
  <si>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</si>
  <si>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</si>
  <si>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</si>
  <si>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</si>
  <si>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</si>
  <si>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Погашение задолженности перед  ГУП "Дубоссарская ГЭС"</t>
  </si>
  <si>
    <t>Оплата услуг по типовому проектир.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</si>
  <si>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</si>
  <si>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</si>
  <si>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</si>
  <si>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</si>
  <si>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</si>
  <si>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</si>
  <si>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</si>
  <si>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</si>
  <si>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ГП разгосударствления и приватизации</t>
  </si>
  <si>
    <t>Финансовая помощь бюджетам других уровней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</si>
  <si>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</si>
  <si>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</si>
  <si>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</si>
  <si>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</si>
  <si>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</si>
  <si>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</si>
  <si>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</si>
  <si>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</si>
  <si>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</si>
  <si>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</si>
  <si>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</si>
  <si>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</si>
  <si>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</si>
  <si>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</si>
  <si>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</si>
  <si>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</si>
  <si>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</si>
  <si>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</si>
  <si>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</si>
  <si>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</si>
  <si>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</si>
  <si>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</si>
  <si>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</si>
  <si>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</si>
  <si>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</si>
  <si>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</si>
  <si>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</si>
  <si>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</si>
  <si>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</si>
  <si>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</si>
  <si>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</si>
  <si>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</si>
  <si>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</si>
  <si>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</si>
  <si>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</si>
  <si>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</si>
  <si>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</si>
  <si>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</si>
  <si>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</si>
  <si>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</si>
  <si>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</si>
  <si>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</si>
  <si>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</si>
  <si>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</si>
  <si>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</si>
  <si>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</si>
  <si>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</si>
  <si>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</si>
  <si>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</si>
  <si>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</si>
  <si>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</si>
  <si>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</si>
  <si>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</si>
  <si>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</si>
  <si>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</si>
  <si>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</si>
  <si>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</si>
  <si>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</si>
  <si>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</si>
  <si>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</si>
  <si>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</si>
  <si>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</si>
  <si>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</si>
  <si>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</si>
  <si>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</si>
  <si>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МЭР  (уличное освещение)</t>
  </si>
  <si>
    <t xml:space="preserve"> [130310] </t>
  </si>
  <si>
    <t>ГЦП "Переоснащение служебного автотранспорта пожарной охраны"</t>
  </si>
  <si>
    <t>Расходы на осуществление г.Тирасполем функций столицы</t>
  </si>
  <si>
    <t>Расходы республиканского бюджета на 2025 год</t>
  </si>
  <si>
    <t>"О республиканском бюджете на 2025 год"</t>
  </si>
  <si>
    <t>Проведение выборов депутатов ВС ПМР</t>
  </si>
  <si>
    <t>Трансферты на поэтапную индексацию вкладов населения</t>
  </si>
  <si>
    <t>Трансферты на индексацию страховых взносов</t>
  </si>
  <si>
    <t>Резерв Дорожного фонда ПМР</t>
  </si>
  <si>
    <t>Функционирование исполнительных органов государственной власти</t>
  </si>
  <si>
    <t>Функционирование органов законодательной государственной власти</t>
  </si>
  <si>
    <t>ПРИОБР. ПРЕДМ. СНАБЖ. И РАСХ. МАТЕРИ-АЛОВ</t>
  </si>
  <si>
    <t>Приобре-тение тр-ных ср-в для инвалидов</t>
  </si>
  <si>
    <t>СРЕДСТВА, ПЕРЕДАВ. БЮДЖЕТАМ ДРУГИХ УРОВНЕЙ</t>
  </si>
  <si>
    <t>МЭР (возмещение льгот по коммунальным услугам)</t>
  </si>
  <si>
    <t>ГЦП "Льготное кред. инвалидов общего заболевания, инвалидов по зрению"</t>
  </si>
  <si>
    <t>ГЦП "Профилактика и лечение сердечно-сосудистых заболеваний"</t>
  </si>
  <si>
    <t>Министерство юстиции ПМР, ГУ "Юридическая литература"</t>
  </si>
  <si>
    <t>Министерство иностранных дел ПМР (госзаказ НИОКР)</t>
  </si>
  <si>
    <t>Государственная служба охраны ПМР</t>
  </si>
  <si>
    <t>Расходы, не отнесенные к другим группам</t>
  </si>
  <si>
    <t>Расходы от оказ. плат. усл. (ПГТРК)</t>
  </si>
  <si>
    <t>Расходы от оказ. плат. усл. (газета)</t>
  </si>
  <si>
    <t>Другие трансферты</t>
  </si>
  <si>
    <t>Оплата содержания помещений</t>
  </si>
  <si>
    <t>Оплата освещения помещений</t>
  </si>
  <si>
    <t>Оплата аренды помещений</t>
  </si>
  <si>
    <t>Оплата текущ. рем. зданий и помещ.</t>
  </si>
  <si>
    <t>Медикаменты и перевязочные средства и прочие лечебные расходы</t>
  </si>
  <si>
    <t>Расходы на содержание автотр-та</t>
  </si>
  <si>
    <t>Оплата водоснабжения помещений</t>
  </si>
  <si>
    <t>Оплата услуг научно-исслед. организаций</t>
  </si>
  <si>
    <t xml:space="preserve">Оплата текущ. ремонта оборуд. и инвентаря </t>
  </si>
  <si>
    <t xml:space="preserve">Госуд. и местная символика и госуд. знаки отличия </t>
  </si>
  <si>
    <t>Участие адвокатов по назначению</t>
  </si>
  <si>
    <t>Денежная компенсация (взамен продов-го пайка)</t>
  </si>
  <si>
    <t>Товары и услуги, не отнесенные к другим подстатьям</t>
  </si>
  <si>
    <t>Трансферты на продукцию и услуги</t>
  </si>
  <si>
    <t>Трансферты на покрытие разницы в ценах и тарифах</t>
  </si>
  <si>
    <t>Трансферты на покрытие потерь от предостав-я льгот по транспорту</t>
  </si>
  <si>
    <t>Трансферты из Дорожного фонда</t>
  </si>
  <si>
    <t>Трансферты из Экологи-ческого фонда</t>
  </si>
  <si>
    <t>Приобр. произв. оборуд. и предметов длительно-го пользов. для госуд-х предпр.</t>
  </si>
  <si>
    <t>Капитальные вложения в жилищное строительство</t>
  </si>
  <si>
    <t>Капитальные вложения в строительство объектов социально-культурного назначения</t>
  </si>
  <si>
    <t>Капит. вложения в строит. администра-тивных зданий</t>
  </si>
  <si>
    <t>Капит. вложения в строит. прочих объектов</t>
  </si>
  <si>
    <t>Капитальный ремонт объектов социально-культурного назначения</t>
  </si>
  <si>
    <t>Команди-ровки внутри республики</t>
  </si>
  <si>
    <t>Команди-ровки за пределы республики</t>
  </si>
  <si>
    <t>Оплата расходов, связанных с выполнением НИР, ОКиТ работ по гос-м контрактам (договорам)</t>
  </si>
  <si>
    <t>Учебные наглядные пособия, производ-я практика учащихся и студентов</t>
  </si>
  <si>
    <t>Капитальный ремонт администра-тивных зданий</t>
  </si>
  <si>
    <t xml:space="preserve">Начисл. на оплату труда (страх-е взносы на госуд-е соц-е стра-е граждан) </t>
  </si>
  <si>
    <t>Расходы от оказ. плат. усл. (ГС КиИН, театр)</t>
  </si>
  <si>
    <t>Оплата                     льгот по жилищным и коммун. услугам, а также услугам связи</t>
  </si>
  <si>
    <t>[110900]</t>
  </si>
  <si>
    <t>Приобр. оборуд-я и предметов длительного пользов., относ-ся к основным фондам</t>
  </si>
  <si>
    <t>Приобр. непроизвод-го оборуд. и предметов длительного пользования для госуд. учрежд.</t>
  </si>
  <si>
    <t>Министерство цифрового развития, связи и массовых коммуникаций ПМР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</si>
  <si>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</si>
  <si>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</si>
  <si>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</si>
  <si>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</si>
  <si>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</si>
  <si>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Целевые субсидии ГА города Бендеры</t>
  </si>
  <si>
    <t>Целевые субсидии ГА Дубоссарского района и  города Дубоссары</t>
  </si>
  <si>
    <t>Министерство экономического развития ПМР (территор. упр-я статистики)</t>
  </si>
  <si>
    <t>Приднестровский гос. театр драмы и комедии им. Н. С. Аронецкой ГС КиИН</t>
  </si>
  <si>
    <t>контроль</t>
  </si>
  <si>
    <t>Целевые субсидии в соответсвии с частью второй пункта 3 статьи 4 настоящего Закона</t>
  </si>
  <si>
    <t>Субсидии на содержание и благоустройство ИВМК "Бендерская крепость" и парка им. А. Невского (ГА Бендер)</t>
  </si>
  <si>
    <t>ГЦП "Замена свет. автомоб. дорог общего пользования ПМР, наход. в гос. и муниц. собствен."</t>
  </si>
  <si>
    <t>ГЦП "Сохран. недвижимых объектов культурного наследия"</t>
  </si>
  <si>
    <t>Целевые субсидии  ГА  города Тирасполя</t>
  </si>
  <si>
    <t>Целевые субсидии  ГА Рыбницкого района и города Рыбницы</t>
  </si>
  <si>
    <t>Целевые субсидии ГА Григориопольского района и города Григориополя</t>
  </si>
  <si>
    <t>Целевые субсидии ГА Слободзейского района и города Слободзеи</t>
  </si>
  <si>
    <t>Трансферты страховым компаниям на обязательное государств., личное страхование</t>
  </si>
  <si>
    <t>ПРЕДОСТ. И ВОЗВРАТ ЗАЙМОВ ЗА СЧЁТ БЮДЖЕТА</t>
  </si>
  <si>
    <t>Предоставле-ние займов финансовым учреждениям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</si>
</sst>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39">
    <xf numFmtId="0" fontId="0" fillId="0" borderId="0" xfId="0"/>
    <xf numFmtId="165" fontId="7" fillId="0" borderId="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165" fontId="11" fillId="2" borderId="7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165" fontId="11" fillId="0" borderId="5" xfId="0" applyNumberFormat="1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166" fontId="17" fillId="0" borderId="0" xfId="16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11" fillId="2" borderId="6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165" fontId="12" fillId="3" borderId="5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21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 wrapText="1"/>
    </xf>
    <xf numFmtId="164" fontId="22" fillId="0" borderId="0" xfId="0" applyNumberFormat="1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65" fontId="20" fillId="0" borderId="9" xfId="0" applyNumberFormat="1" applyFont="1" applyBorder="1" applyAlignment="1">
      <alignment horizontal="center" vertical="center" wrapText="1"/>
    </xf>
    <xf numFmtId="165" fontId="20" fillId="0" borderId="7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44">
    <cellStyle name="Обычный" xfId="0" builtinId="0"/>
    <cellStyle name="Обычный 10" xfId="31"/>
    <cellStyle name="Обычный 2" xfId="2"/>
    <cellStyle name="Обычный 2 2" xfId="6"/>
    <cellStyle name="Обычный 2 2 2" xfId="14"/>
    <cellStyle name="Обычный 2 2 2 2" xfId="42"/>
    <cellStyle name="Обычный 2 2 2 3" xfId="28"/>
    <cellStyle name="Обычный 2 2 3" xfId="36"/>
    <cellStyle name="Обычный 2 2 4" xfId="22"/>
    <cellStyle name="Обычный 2 3" xfId="11"/>
    <cellStyle name="Обычный 2 3 2" xfId="39"/>
    <cellStyle name="Обычный 2 3 3" xfId="25"/>
    <cellStyle name="Обычный 2 4" xfId="33"/>
    <cellStyle name="Обычный 2 5" xfId="19"/>
    <cellStyle name="Обычный 3" xfId="1"/>
    <cellStyle name="Обычный 3 2" xfId="5"/>
    <cellStyle name="Обычный 3 2 2" xfId="13"/>
    <cellStyle name="Обычный 3 2 2 2" xfId="41"/>
    <cellStyle name="Обычный 3 2 2 3" xfId="27"/>
    <cellStyle name="Обычный 3 2 3" xfId="35"/>
    <cellStyle name="Обычный 3 2 4" xfId="21"/>
    <cellStyle name="Обычный 3 3" xfId="10"/>
    <cellStyle name="Обычный 3 3 2" xfId="38"/>
    <cellStyle name="Обычный 3 3 3" xfId="24"/>
    <cellStyle name="Обычный 3 4" xfId="32"/>
    <cellStyle name="Обычный 3 5" xfId="18"/>
    <cellStyle name="Обычный 4" xfId="7"/>
    <cellStyle name="Обычный 5" xfId="4"/>
    <cellStyle name="Обычный 6" xfId="3"/>
    <cellStyle name="Обычный 6 2" xfId="12"/>
    <cellStyle name="Обычный 6 2 2" xfId="40"/>
    <cellStyle name="Обычный 6 2 3" xfId="26"/>
    <cellStyle name="Обычный 6 3" xfId="34"/>
    <cellStyle name="Обычный 6 4" xfId="20"/>
    <cellStyle name="Обычный 7" xfId="9"/>
    <cellStyle name="Обычный 8" xfId="8"/>
    <cellStyle name="Обычный 8 2" xfId="37"/>
    <cellStyle name="Обычный 8 3" xfId="23"/>
    <cellStyle name="Обычный 9" xfId="17"/>
    <cellStyle name="Финансовый" xfId="16" builtinId="3"/>
    <cellStyle name="Финансовый 2" xfId="15"/>
    <cellStyle name="Финансовый 2 2" xfId="43"/>
    <cellStyle name="Финансовый 2 3" xfId="29"/>
    <cellStyle name="Финансовый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602"/>
  <sheetViews>
    <sheetView tabSelected="1" zoomScale="75" zoomScaleNormal="75" zoomScaleSheetLayoutView="100" workbookViewId="0">
      <pane xSplit="3" ySplit="11" topLeftCell="D12" activePane="bottomRight" state="frozen"/>
      <selection pane="topRight" activeCell="D1" sqref="D1"/>
      <selection pane="bottomLeft" activeCell="A11" sqref="A11"/>
      <selection pane="bottomRight" sqref="A1:O5"/>
    </sheetView>
  </sheetViews>
  <sheetFormatPr defaultColWidth="9.109375" defaultRowHeight="14.4" x14ac:dyDescent="0.3"/>
  <cols>
    <col min="1" max="1" width="6.33203125" style="50" customWidth="1"/>
    <col min="2" max="2" width="4.33203125" style="50" customWidth="1"/>
    <col min="3" max="3" width="45" style="50" customWidth="1"/>
    <col min="4" max="4" width="11.6640625" style="50" customWidth="1"/>
    <col min="5" max="5" width="11.109375" style="50" customWidth="1"/>
    <col min="6" max="7" width="11" style="50" customWidth="1"/>
    <col min="8" max="8" width="9.6640625" style="50" customWidth="1"/>
    <col min="9" max="10" width="9.88671875" style="50" customWidth="1"/>
    <col min="11" max="11" width="9" style="50" customWidth="1"/>
    <col min="12" max="12" width="9.5546875" style="50" customWidth="1"/>
    <col min="13" max="13" width="8.33203125" style="50" customWidth="1"/>
    <col min="14" max="14" width="8.88671875" style="50" customWidth="1"/>
    <col min="15" max="16" width="10" style="50" customWidth="1"/>
    <col min="17" max="20" width="9.109375" style="50" customWidth="1"/>
    <col min="21" max="21" width="10" style="50" customWidth="1"/>
    <col min="22" max="22" width="9.33203125" style="50" customWidth="1"/>
    <col min="23" max="23" width="8.6640625" style="50" customWidth="1"/>
    <col min="24" max="24" width="9.44140625" style="50" customWidth="1"/>
    <col min="25" max="25" width="10.44140625" style="50" customWidth="1"/>
    <col min="26" max="26" width="7.88671875" style="50" customWidth="1"/>
    <col min="27" max="27" width="8.5546875" style="50" customWidth="1"/>
    <col min="28" max="28" width="9.5546875" style="50" customWidth="1"/>
    <col min="29" max="29" width="7.88671875" style="50" customWidth="1"/>
    <col min="30" max="30" width="8.44140625" style="50" customWidth="1"/>
    <col min="31" max="31" width="11.33203125" style="50" customWidth="1"/>
    <col min="32" max="32" width="9.109375" style="50" customWidth="1"/>
    <col min="33" max="33" width="12.5546875" style="50" customWidth="1"/>
    <col min="34" max="34" width="8.88671875" style="50" customWidth="1"/>
    <col min="35" max="35" width="8.6640625" style="50" customWidth="1"/>
    <col min="36" max="36" width="8.109375" style="50" customWidth="1"/>
    <col min="37" max="37" width="7.88671875" style="50" customWidth="1"/>
    <col min="38" max="38" width="9" style="50" customWidth="1"/>
    <col min="39" max="39" width="8.44140625" style="50" customWidth="1"/>
    <col min="40" max="40" width="7.88671875" style="50" customWidth="1"/>
    <col min="41" max="41" width="9" style="50" customWidth="1"/>
    <col min="42" max="42" width="8.109375" style="50" customWidth="1"/>
    <col min="43" max="43" width="8.6640625" style="50" customWidth="1"/>
    <col min="44" max="44" width="7.88671875" style="50" customWidth="1"/>
    <col min="45" max="45" width="8.109375" style="50" customWidth="1"/>
    <col min="46" max="46" width="9.33203125" style="50" customWidth="1"/>
    <col min="47" max="47" width="8.44140625" style="50" customWidth="1"/>
    <col min="48" max="48" width="8.6640625" style="50" customWidth="1"/>
    <col min="49" max="49" width="10.33203125" style="50" customWidth="1"/>
    <col min="50" max="50" width="8.109375" style="50" customWidth="1"/>
    <col min="51" max="51" width="8.88671875" style="50" customWidth="1"/>
    <col min="52" max="53" width="10.88671875" style="50" customWidth="1"/>
    <col min="54" max="54" width="9.6640625" style="50" customWidth="1"/>
    <col min="55" max="56" width="9.5546875" style="50" customWidth="1"/>
    <col min="57" max="57" width="9.6640625" style="50" customWidth="1"/>
    <col min="58" max="58" width="8.6640625" style="50" customWidth="1"/>
    <col min="59" max="59" width="8.88671875" style="50" customWidth="1"/>
    <col min="60" max="60" width="9.109375" style="50" customWidth="1"/>
    <col min="61" max="62" width="10.88671875" style="50" customWidth="1"/>
    <col min="63" max="63" width="8.88671875" style="50" customWidth="1"/>
    <col min="64" max="64" width="9.5546875" style="50" customWidth="1"/>
    <col min="65" max="65" width="9" style="50" customWidth="1"/>
    <col min="66" max="66" width="9.6640625" style="50" customWidth="1"/>
    <col min="67" max="67" width="10.33203125" style="50" customWidth="1"/>
    <col min="68" max="68" width="9.33203125" style="50" customWidth="1"/>
    <col min="69" max="69" width="9.5546875" style="50" customWidth="1"/>
    <col min="70" max="70" width="10.109375" style="50" customWidth="1"/>
    <col min="71" max="71" width="9.109375" style="50" customWidth="1"/>
    <col min="72" max="72" width="8.44140625" style="50" customWidth="1"/>
    <col min="73" max="73" width="10.109375" style="50" customWidth="1"/>
    <col min="74" max="75" width="9.109375" style="50" customWidth="1"/>
    <col min="76" max="76" width="10.109375" style="50" customWidth="1"/>
    <col min="77" max="77" width="9.109375" style="50" customWidth="1"/>
    <col min="78" max="78" width="10.109375" style="50" customWidth="1"/>
    <col min="79" max="79" width="10" style="50" customWidth="1"/>
    <col min="80" max="80" width="9.33203125" style="50" customWidth="1"/>
    <col min="81" max="81" width="8.109375" style="50" customWidth="1"/>
    <col min="82" max="83" width="10" style="50" customWidth="1"/>
    <col min="84" max="84" width="10.109375" style="50" customWidth="1"/>
    <col min="85" max="85" width="9.88671875" style="50" customWidth="1"/>
    <col min="86" max="86" width="10.44140625" style="50" customWidth="1"/>
    <col min="87" max="87" width="8.88671875" style="50" customWidth="1"/>
    <col min="88" max="88" width="8.33203125" style="50" customWidth="1"/>
    <col min="89" max="89" width="9.6640625" style="50" customWidth="1"/>
    <col min="90" max="90" width="9.88671875" style="50" customWidth="1"/>
    <col min="91" max="91" width="11.109375" style="50" customWidth="1"/>
    <col min="92" max="92" width="10.6640625" style="50" hidden="1" customWidth="1"/>
    <col min="93" max="93" width="11.109375" style="50" customWidth="1"/>
    <col min="94" max="94" width="8.88671875" style="50" customWidth="1"/>
    <col min="95" max="95" width="10.109375" style="50" customWidth="1"/>
    <col min="96" max="96" width="10.109375" style="79" customWidth="1"/>
    <col min="97" max="98" width="10.109375" style="79" hidden="1" customWidth="1"/>
    <col min="99" max="99" width="11.6640625" style="50" hidden="1" customWidth="1"/>
    <col min="100" max="100" width="9.6640625" style="50" hidden="1" customWidth="1"/>
    <col min="101" max="101" width="9" style="50" hidden="1" customWidth="1"/>
    <col min="102" max="16384" width="9.109375" style="50"/>
  </cols>
  <sheetData>
    <row r="1" spans="1:101" ht="8.4" customHeight="1" x14ac:dyDescent="0.3">
      <c r="A1" s="85"/>
      <c r="B1" s="85"/>
      <c r="C1" s="85"/>
      <c r="D1" s="85"/>
      <c r="E1" s="85"/>
      <c r="F1" s="85"/>
      <c r="G1" s="85"/>
      <c r="H1" s="85"/>
      <c r="I1" s="85"/>
      <c r="J1" s="112"/>
      <c r="K1" s="112"/>
      <c r="L1" s="112"/>
      <c r="M1" s="112"/>
      <c r="N1" s="112"/>
      <c r="O1" s="112"/>
    </row>
    <row r="2" spans="1:101" s="7" customFormat="1" ht="15.6" x14ac:dyDescent="0.3">
      <c r="A2" s="138" t="s">
        <v>458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R2" s="6"/>
      <c r="S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R2" s="87"/>
      <c r="CS2" s="87"/>
      <c r="CT2" s="87"/>
    </row>
    <row r="3" spans="1:101" s="7" customFormat="1" ht="15.6" x14ac:dyDescent="0.3">
      <c r="A3" s="138" t="s">
        <v>428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R3" s="6"/>
      <c r="S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R3" s="87"/>
      <c r="CS3" s="87"/>
      <c r="CT3" s="87"/>
    </row>
    <row r="4" spans="1:101" s="7" customFormat="1" ht="15.6" x14ac:dyDescent="0.3">
      <c r="A4" s="138" t="s">
        <v>545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R4" s="6"/>
      <c r="S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R4" s="87"/>
      <c r="CS4" s="87"/>
      <c r="CT4" s="87"/>
    </row>
    <row r="5" spans="1:101" s="7" customFormat="1" ht="11.4" customHeight="1" x14ac:dyDescent="0.3">
      <c r="A5" s="4"/>
      <c r="B5" s="4"/>
      <c r="C5" s="5"/>
      <c r="D5" s="6"/>
      <c r="E5" s="6"/>
      <c r="G5" s="8"/>
      <c r="H5" s="8"/>
      <c r="L5" s="6"/>
      <c r="M5" s="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R5" s="87"/>
      <c r="CS5" s="87"/>
      <c r="CT5" s="87"/>
    </row>
    <row r="6" spans="1:101" s="7" customFormat="1" ht="15.6" x14ac:dyDescent="0.3">
      <c r="A6" s="9"/>
      <c r="B6" s="9"/>
      <c r="C6" s="5"/>
      <c r="D6" s="10" t="s">
        <v>544</v>
      </c>
      <c r="E6" s="10"/>
      <c r="F6" s="10"/>
      <c r="G6" s="10"/>
      <c r="H6" s="10"/>
      <c r="I6" s="10"/>
      <c r="J6" s="10"/>
      <c r="K6" s="10"/>
      <c r="CQ6" s="87"/>
      <c r="CR6" s="87"/>
      <c r="CS6" s="87"/>
    </row>
    <row r="7" spans="1:101" s="3" customFormat="1" ht="16.2" thickBot="1" x14ac:dyDescent="0.35">
      <c r="A7" s="11"/>
      <c r="B7" s="11"/>
      <c r="E7" s="12"/>
      <c r="F7" s="12"/>
      <c r="O7" s="82" t="s">
        <v>429</v>
      </c>
      <c r="CP7" s="88"/>
      <c r="CQ7" s="88"/>
      <c r="CR7" s="88"/>
      <c r="CW7" s="63"/>
    </row>
    <row r="8" spans="1:101" s="3" customFormat="1" ht="26.25" customHeight="1" x14ac:dyDescent="0.3">
      <c r="A8" s="54" t="s">
        <v>481</v>
      </c>
      <c r="B8" s="127" t="s">
        <v>40</v>
      </c>
      <c r="C8" s="130" t="s">
        <v>0</v>
      </c>
      <c r="D8" s="133" t="s">
        <v>15</v>
      </c>
      <c r="E8" s="113" t="s">
        <v>2</v>
      </c>
      <c r="F8" s="113" t="s">
        <v>3</v>
      </c>
      <c r="G8" s="113" t="s">
        <v>4</v>
      </c>
      <c r="H8" s="113" t="s">
        <v>594</v>
      </c>
      <c r="I8" s="113" t="s">
        <v>552</v>
      </c>
      <c r="J8" s="113" t="s">
        <v>569</v>
      </c>
      <c r="K8" s="113" t="s">
        <v>16</v>
      </c>
      <c r="L8" s="113" t="s">
        <v>5</v>
      </c>
      <c r="M8" s="113" t="s">
        <v>6</v>
      </c>
      <c r="N8" s="113" t="s">
        <v>570</v>
      </c>
      <c r="O8" s="113" t="s">
        <v>17</v>
      </c>
      <c r="P8" s="113" t="s">
        <v>470</v>
      </c>
      <c r="Q8" s="113" t="s">
        <v>589</v>
      </c>
      <c r="R8" s="113" t="s">
        <v>590</v>
      </c>
      <c r="S8" s="113" t="s">
        <v>18</v>
      </c>
      <c r="T8" s="136" t="s">
        <v>7</v>
      </c>
      <c r="U8" s="113" t="s">
        <v>19</v>
      </c>
      <c r="V8" s="113" t="s">
        <v>565</v>
      </c>
      <c r="W8" s="113" t="s">
        <v>8</v>
      </c>
      <c r="X8" s="113" t="s">
        <v>566</v>
      </c>
      <c r="Y8" s="113" t="s">
        <v>571</v>
      </c>
      <c r="Z8" s="113" t="s">
        <v>9</v>
      </c>
      <c r="AA8" s="113" t="s">
        <v>567</v>
      </c>
      <c r="AB8" s="113" t="s">
        <v>596</v>
      </c>
      <c r="AC8" s="113" t="s">
        <v>10</v>
      </c>
      <c r="AD8" s="113" t="s">
        <v>464</v>
      </c>
      <c r="AE8" s="113" t="s">
        <v>20</v>
      </c>
      <c r="AF8" s="113" t="s">
        <v>572</v>
      </c>
      <c r="AG8" s="113" t="s">
        <v>591</v>
      </c>
      <c r="AH8" s="113" t="s">
        <v>573</v>
      </c>
      <c r="AI8" s="113" t="s">
        <v>568</v>
      </c>
      <c r="AJ8" s="113" t="s">
        <v>592</v>
      </c>
      <c r="AK8" s="113" t="s">
        <v>11</v>
      </c>
      <c r="AL8" s="113" t="s">
        <v>574</v>
      </c>
      <c r="AM8" s="113" t="s">
        <v>436</v>
      </c>
      <c r="AN8" s="113" t="s">
        <v>21</v>
      </c>
      <c r="AO8" s="113" t="s">
        <v>22</v>
      </c>
      <c r="AP8" s="113" t="s">
        <v>23</v>
      </c>
      <c r="AQ8" s="113" t="s">
        <v>24</v>
      </c>
      <c r="AR8" s="113" t="s">
        <v>25</v>
      </c>
      <c r="AS8" s="113" t="s">
        <v>26</v>
      </c>
      <c r="AT8" s="113" t="s">
        <v>575</v>
      </c>
      <c r="AU8" s="113" t="s">
        <v>27</v>
      </c>
      <c r="AV8" s="113" t="s">
        <v>430</v>
      </c>
      <c r="AW8" s="113" t="s">
        <v>576</v>
      </c>
      <c r="AX8" s="113" t="s">
        <v>437</v>
      </c>
      <c r="AY8" s="121" t="s">
        <v>443</v>
      </c>
      <c r="AZ8" s="113" t="s">
        <v>577</v>
      </c>
      <c r="BA8" s="113" t="s">
        <v>438</v>
      </c>
      <c r="BB8" s="113" t="s">
        <v>578</v>
      </c>
      <c r="BC8" s="113" t="s">
        <v>579</v>
      </c>
      <c r="BD8" s="113" t="s">
        <v>580</v>
      </c>
      <c r="BE8" s="113" t="s">
        <v>28</v>
      </c>
      <c r="BF8" s="113" t="s">
        <v>29</v>
      </c>
      <c r="BG8" s="113" t="s">
        <v>581</v>
      </c>
      <c r="BH8" s="113" t="s">
        <v>582</v>
      </c>
      <c r="BI8" s="113" t="s">
        <v>554</v>
      </c>
      <c r="BJ8" s="119" t="s">
        <v>543</v>
      </c>
      <c r="BK8" s="113" t="s">
        <v>30</v>
      </c>
      <c r="BL8" s="113" t="s">
        <v>619</v>
      </c>
      <c r="BM8" s="113" t="s">
        <v>564</v>
      </c>
      <c r="BN8" s="113" t="s">
        <v>439</v>
      </c>
      <c r="BO8" s="113" t="s">
        <v>31</v>
      </c>
      <c r="BP8" s="113" t="s">
        <v>32</v>
      </c>
      <c r="BQ8" s="113" t="s">
        <v>12</v>
      </c>
      <c r="BR8" s="113" t="s">
        <v>547</v>
      </c>
      <c r="BS8" s="113" t="s">
        <v>548</v>
      </c>
      <c r="BT8" s="113" t="s">
        <v>34</v>
      </c>
      <c r="BU8" s="113" t="s">
        <v>471</v>
      </c>
      <c r="BV8" s="113" t="s">
        <v>553</v>
      </c>
      <c r="BW8" s="113" t="s">
        <v>440</v>
      </c>
      <c r="BX8" s="113" t="s">
        <v>14</v>
      </c>
      <c r="BY8" s="113" t="s">
        <v>35</v>
      </c>
      <c r="BZ8" s="113" t="s">
        <v>431</v>
      </c>
      <c r="CA8" s="113" t="s">
        <v>472</v>
      </c>
      <c r="CB8" s="113" t="s">
        <v>598</v>
      </c>
      <c r="CC8" s="113" t="s">
        <v>583</v>
      </c>
      <c r="CD8" s="113" t="s">
        <v>599</v>
      </c>
      <c r="CE8" s="113" t="s">
        <v>36</v>
      </c>
      <c r="CF8" s="113" t="s">
        <v>584</v>
      </c>
      <c r="CG8" s="113" t="s">
        <v>585</v>
      </c>
      <c r="CH8" s="113" t="s">
        <v>586</v>
      </c>
      <c r="CI8" s="113" t="s">
        <v>465</v>
      </c>
      <c r="CJ8" s="113" t="s">
        <v>587</v>
      </c>
      <c r="CK8" s="113" t="s">
        <v>432</v>
      </c>
      <c r="CL8" s="113" t="s">
        <v>588</v>
      </c>
      <c r="CM8" s="113" t="s">
        <v>593</v>
      </c>
      <c r="CN8" s="113" t="s">
        <v>457</v>
      </c>
      <c r="CO8" s="113" t="s">
        <v>441</v>
      </c>
      <c r="CP8" s="125" t="s">
        <v>620</v>
      </c>
      <c r="CQ8" s="125" t="s">
        <v>602</v>
      </c>
      <c r="CR8" s="125" t="s">
        <v>621</v>
      </c>
      <c r="CS8" s="117" t="s">
        <v>442</v>
      </c>
      <c r="CT8" s="119" t="s">
        <v>37</v>
      </c>
      <c r="CU8" s="119" t="s">
        <v>38</v>
      </c>
      <c r="CV8" s="123" t="s">
        <v>39</v>
      </c>
      <c r="CW8" s="62"/>
    </row>
    <row r="9" spans="1:101" s="3" customFormat="1" ht="66.75" customHeight="1" x14ac:dyDescent="0.3">
      <c r="A9" s="115" t="s">
        <v>480</v>
      </c>
      <c r="B9" s="128"/>
      <c r="C9" s="131"/>
      <c r="D9" s="13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37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22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20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26"/>
      <c r="CQ9" s="126"/>
      <c r="CR9" s="126"/>
      <c r="CS9" s="118"/>
      <c r="CT9" s="120"/>
      <c r="CU9" s="120"/>
      <c r="CV9" s="124"/>
      <c r="CW9" s="63"/>
    </row>
    <row r="10" spans="1:101" s="3" customFormat="1" ht="13.8" thickBot="1" x14ac:dyDescent="0.35">
      <c r="A10" s="116"/>
      <c r="B10" s="129"/>
      <c r="C10" s="132"/>
      <c r="D10" s="135"/>
      <c r="E10" s="1" t="s">
        <v>343</v>
      </c>
      <c r="F10" s="1" t="s">
        <v>344</v>
      </c>
      <c r="G10" s="1" t="s">
        <v>345</v>
      </c>
      <c r="H10" s="1" t="s">
        <v>346</v>
      </c>
      <c r="I10" s="1" t="s">
        <v>347</v>
      </c>
      <c r="J10" s="1" t="s">
        <v>348</v>
      </c>
      <c r="K10" s="1" t="s">
        <v>349</v>
      </c>
      <c r="L10" s="1" t="s">
        <v>350</v>
      </c>
      <c r="M10" s="1" t="s">
        <v>351</v>
      </c>
      <c r="N10" s="1" t="s">
        <v>352</v>
      </c>
      <c r="O10" s="1" t="s">
        <v>353</v>
      </c>
      <c r="P10" s="1" t="s">
        <v>354</v>
      </c>
      <c r="Q10" s="1" t="s">
        <v>355</v>
      </c>
      <c r="R10" s="1" t="s">
        <v>356</v>
      </c>
      <c r="S10" s="1" t="s">
        <v>357</v>
      </c>
      <c r="T10" s="1" t="s">
        <v>358</v>
      </c>
      <c r="U10" s="1" t="s">
        <v>359</v>
      </c>
      <c r="V10" s="1" t="s">
        <v>360</v>
      </c>
      <c r="W10" s="1" t="s">
        <v>361</v>
      </c>
      <c r="X10" s="1" t="s">
        <v>362</v>
      </c>
      <c r="Y10" s="1" t="s">
        <v>363</v>
      </c>
      <c r="Z10" s="1" t="s">
        <v>364</v>
      </c>
      <c r="AA10" s="1" t="s">
        <v>365</v>
      </c>
      <c r="AB10" s="1" t="s">
        <v>366</v>
      </c>
      <c r="AC10" s="1" t="s">
        <v>367</v>
      </c>
      <c r="AD10" s="86" t="s">
        <v>597</v>
      </c>
      <c r="AE10" s="1" t="s">
        <v>368</v>
      </c>
      <c r="AF10" s="1" t="s">
        <v>369</v>
      </c>
      <c r="AG10" s="1" t="s">
        <v>370</v>
      </c>
      <c r="AH10" s="1" t="s">
        <v>371</v>
      </c>
      <c r="AI10" s="1" t="s">
        <v>372</v>
      </c>
      <c r="AJ10" s="1" t="s">
        <v>373</v>
      </c>
      <c r="AK10" s="1" t="s">
        <v>374</v>
      </c>
      <c r="AL10" s="1" t="s">
        <v>375</v>
      </c>
      <c r="AM10" s="1" t="s">
        <v>376</v>
      </c>
      <c r="AN10" s="1" t="s">
        <v>377</v>
      </c>
      <c r="AO10" s="1" t="s">
        <v>378</v>
      </c>
      <c r="AP10" s="1" t="s">
        <v>379</v>
      </c>
      <c r="AQ10" s="1" t="s">
        <v>380</v>
      </c>
      <c r="AR10" s="1" t="s">
        <v>381</v>
      </c>
      <c r="AS10" s="1" t="s">
        <v>382</v>
      </c>
      <c r="AT10" s="1" t="s">
        <v>383</v>
      </c>
      <c r="AU10" s="1" t="s">
        <v>384</v>
      </c>
      <c r="AV10" s="1" t="s">
        <v>385</v>
      </c>
      <c r="AW10" s="1" t="s">
        <v>386</v>
      </c>
      <c r="AX10" s="1" t="s">
        <v>387</v>
      </c>
      <c r="AY10" s="53" t="s">
        <v>444</v>
      </c>
      <c r="AZ10" s="1" t="s">
        <v>388</v>
      </c>
      <c r="BA10" s="1" t="s">
        <v>389</v>
      </c>
      <c r="BB10" s="1" t="s">
        <v>390</v>
      </c>
      <c r="BC10" s="1" t="s">
        <v>391</v>
      </c>
      <c r="BD10" s="1" t="s">
        <v>392</v>
      </c>
      <c r="BE10" s="1" t="s">
        <v>393</v>
      </c>
      <c r="BF10" s="1" t="s">
        <v>394</v>
      </c>
      <c r="BG10" s="1" t="s">
        <v>395</v>
      </c>
      <c r="BH10" s="1" t="s">
        <v>396</v>
      </c>
      <c r="BI10" s="1" t="s">
        <v>397</v>
      </c>
      <c r="BJ10" s="1" t="s">
        <v>541</v>
      </c>
      <c r="BK10" s="1" t="s">
        <v>398</v>
      </c>
      <c r="BL10" s="1" t="s">
        <v>399</v>
      </c>
      <c r="BM10" s="1" t="s">
        <v>434</v>
      </c>
      <c r="BN10" s="1" t="s">
        <v>400</v>
      </c>
      <c r="BO10" s="1" t="s">
        <v>401</v>
      </c>
      <c r="BP10" s="1" t="s">
        <v>402</v>
      </c>
      <c r="BQ10" s="1" t="s">
        <v>403</v>
      </c>
      <c r="BR10" s="1" t="s">
        <v>404</v>
      </c>
      <c r="BS10" s="1" t="s">
        <v>405</v>
      </c>
      <c r="BT10" s="1" t="s">
        <v>406</v>
      </c>
      <c r="BU10" s="1" t="s">
        <v>407</v>
      </c>
      <c r="BV10" s="1" t="s">
        <v>408</v>
      </c>
      <c r="BW10" s="1" t="s">
        <v>409</v>
      </c>
      <c r="BX10" s="1" t="s">
        <v>410</v>
      </c>
      <c r="BY10" s="1" t="s">
        <v>411</v>
      </c>
      <c r="BZ10" s="1" t="s">
        <v>412</v>
      </c>
      <c r="CA10" s="1" t="s">
        <v>413</v>
      </c>
      <c r="CB10" s="1" t="s">
        <v>414</v>
      </c>
      <c r="CC10" s="1" t="s">
        <v>415</v>
      </c>
      <c r="CD10" s="1" t="s">
        <v>416</v>
      </c>
      <c r="CE10" s="1" t="s">
        <v>417</v>
      </c>
      <c r="CF10" s="1" t="s">
        <v>418</v>
      </c>
      <c r="CG10" s="1" t="s">
        <v>454</v>
      </c>
      <c r="CH10" s="1" t="s">
        <v>419</v>
      </c>
      <c r="CI10" s="1" t="s">
        <v>455</v>
      </c>
      <c r="CJ10" s="1" t="s">
        <v>527</v>
      </c>
      <c r="CK10" s="1" t="s">
        <v>420</v>
      </c>
      <c r="CL10" s="1" t="s">
        <v>421</v>
      </c>
      <c r="CM10" s="1" t="s">
        <v>422</v>
      </c>
      <c r="CN10" s="1" t="s">
        <v>456</v>
      </c>
      <c r="CO10" s="1" t="s">
        <v>423</v>
      </c>
      <c r="CP10" s="89" t="s">
        <v>603</v>
      </c>
      <c r="CQ10" s="89" t="s">
        <v>604</v>
      </c>
      <c r="CR10" s="89" t="s">
        <v>605</v>
      </c>
      <c r="CS10" s="1" t="s">
        <v>424</v>
      </c>
      <c r="CT10" s="1" t="s">
        <v>425</v>
      </c>
      <c r="CU10" s="1" t="s">
        <v>426</v>
      </c>
      <c r="CV10" s="2" t="s">
        <v>427</v>
      </c>
      <c r="CW10" s="63"/>
    </row>
    <row r="11" spans="1:101" s="3" customFormat="1" ht="2.25" customHeight="1" x14ac:dyDescent="0.3">
      <c r="A11" s="102"/>
      <c r="B11" s="64"/>
      <c r="C11" s="65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8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90"/>
      <c r="CQ11" s="90"/>
      <c r="CR11" s="90"/>
      <c r="CS11" s="67"/>
      <c r="CT11" s="67"/>
      <c r="CU11" s="67"/>
      <c r="CV11" s="69"/>
      <c r="CW11" s="63"/>
    </row>
    <row r="12" spans="1:101" s="58" customFormat="1" ht="31.2" x14ac:dyDescent="0.3">
      <c r="A12" s="103" t="s">
        <v>41</v>
      </c>
      <c r="B12" s="13" t="s">
        <v>1</v>
      </c>
      <c r="C12" s="14" t="s">
        <v>42</v>
      </c>
      <c r="D12" s="15">
        <f t="shared" ref="D12:AI12" si="0">SUM(D13+D15+D19+D33+D35+D40+D42)</f>
        <v>273449306</v>
      </c>
      <c r="E12" s="15">
        <f t="shared" si="0"/>
        <v>266071327</v>
      </c>
      <c r="F12" s="15">
        <f t="shared" si="0"/>
        <v>261320662</v>
      </c>
      <c r="G12" s="15">
        <f t="shared" si="0"/>
        <v>176782565</v>
      </c>
      <c r="H12" s="15">
        <f t="shared" si="0"/>
        <v>37603068</v>
      </c>
      <c r="I12" s="15">
        <f t="shared" si="0"/>
        <v>12606040</v>
      </c>
      <c r="J12" s="15">
        <f t="shared" si="0"/>
        <v>0</v>
      </c>
      <c r="K12" s="15">
        <f t="shared" si="0"/>
        <v>324553</v>
      </c>
      <c r="L12" s="15">
        <f t="shared" si="0"/>
        <v>0</v>
      </c>
      <c r="M12" s="15">
        <f t="shared" si="0"/>
        <v>0</v>
      </c>
      <c r="N12" s="15">
        <f t="shared" si="0"/>
        <v>7671040</v>
      </c>
      <c r="O12" s="15">
        <f t="shared" si="0"/>
        <v>4610447</v>
      </c>
      <c r="P12" s="15">
        <f t="shared" si="0"/>
        <v>1759995</v>
      </c>
      <c r="Q12" s="15">
        <f t="shared" si="0"/>
        <v>856</v>
      </c>
      <c r="R12" s="15">
        <f t="shared" si="0"/>
        <v>1759139</v>
      </c>
      <c r="S12" s="15">
        <f t="shared" si="0"/>
        <v>40000</v>
      </c>
      <c r="T12" s="15">
        <f t="shared" si="0"/>
        <v>4275892</v>
      </c>
      <c r="U12" s="15">
        <f t="shared" si="0"/>
        <v>4371954</v>
      </c>
      <c r="V12" s="15">
        <f t="shared" si="0"/>
        <v>963577</v>
      </c>
      <c r="W12" s="15">
        <f t="shared" si="0"/>
        <v>1249871</v>
      </c>
      <c r="X12" s="15">
        <f t="shared" si="0"/>
        <v>1301782</v>
      </c>
      <c r="Y12" s="15">
        <f t="shared" si="0"/>
        <v>249572</v>
      </c>
      <c r="Z12" s="15">
        <f t="shared" si="0"/>
        <v>138587</v>
      </c>
      <c r="AA12" s="15">
        <f t="shared" si="0"/>
        <v>329270</v>
      </c>
      <c r="AB12" s="15">
        <f t="shared" si="0"/>
        <v>0</v>
      </c>
      <c r="AC12" s="15">
        <f t="shared" si="0"/>
        <v>139295</v>
      </c>
      <c r="AD12" s="15">
        <f>SUM(AD13+AD15+AD19+AD33+AD35+AD40+AD42)</f>
        <v>19182</v>
      </c>
      <c r="AE12" s="15">
        <f t="shared" si="0"/>
        <v>23861966</v>
      </c>
      <c r="AF12" s="15">
        <f t="shared" si="0"/>
        <v>100000</v>
      </c>
      <c r="AG12" s="15">
        <f t="shared" si="0"/>
        <v>0</v>
      </c>
      <c r="AH12" s="15">
        <f t="shared" si="0"/>
        <v>529853</v>
      </c>
      <c r="AI12" s="15">
        <f t="shared" si="0"/>
        <v>1389165</v>
      </c>
      <c r="AJ12" s="15">
        <f t="shared" ref="AJ12:BP12" si="1">SUM(AJ13+AJ15+AJ19+AJ33+AJ35+AJ40+AJ42)</f>
        <v>0</v>
      </c>
      <c r="AK12" s="15">
        <f t="shared" si="1"/>
        <v>129122</v>
      </c>
      <c r="AL12" s="15">
        <f t="shared" si="1"/>
        <v>1063814</v>
      </c>
      <c r="AM12" s="15">
        <f t="shared" si="1"/>
        <v>280267</v>
      </c>
      <c r="AN12" s="15">
        <f t="shared" si="1"/>
        <v>650920</v>
      </c>
      <c r="AO12" s="15">
        <f t="shared" si="1"/>
        <v>8220690</v>
      </c>
      <c r="AP12" s="15">
        <f t="shared" si="1"/>
        <v>7691</v>
      </c>
      <c r="AQ12" s="15">
        <f t="shared" si="1"/>
        <v>0</v>
      </c>
      <c r="AR12" s="15">
        <f t="shared" si="1"/>
        <v>1029047</v>
      </c>
      <c r="AS12" s="15">
        <f t="shared" si="1"/>
        <v>373570</v>
      </c>
      <c r="AT12" s="15">
        <f t="shared" si="1"/>
        <v>0</v>
      </c>
      <c r="AU12" s="15">
        <f t="shared" si="1"/>
        <v>0</v>
      </c>
      <c r="AV12" s="15">
        <f t="shared" si="1"/>
        <v>0</v>
      </c>
      <c r="AW12" s="15">
        <f t="shared" si="1"/>
        <v>1016988</v>
      </c>
      <c r="AX12" s="15">
        <f t="shared" si="1"/>
        <v>2167543</v>
      </c>
      <c r="AY12" s="15">
        <f t="shared" si="1"/>
        <v>517513</v>
      </c>
      <c r="AZ12" s="15">
        <f t="shared" si="1"/>
        <v>6385783</v>
      </c>
      <c r="BA12" s="15">
        <f t="shared" si="1"/>
        <v>4750665</v>
      </c>
      <c r="BB12" s="15">
        <f t="shared" si="1"/>
        <v>0</v>
      </c>
      <c r="BC12" s="15">
        <f t="shared" si="1"/>
        <v>0</v>
      </c>
      <c r="BD12" s="15">
        <f t="shared" si="1"/>
        <v>0</v>
      </c>
      <c r="BE12" s="15">
        <f t="shared" si="1"/>
        <v>0</v>
      </c>
      <c r="BF12" s="15">
        <f t="shared" si="1"/>
        <v>0</v>
      </c>
      <c r="BG12" s="15">
        <f t="shared" si="1"/>
        <v>0</v>
      </c>
      <c r="BH12" s="15">
        <f t="shared" si="1"/>
        <v>0</v>
      </c>
      <c r="BI12" s="15">
        <f t="shared" si="1"/>
        <v>0</v>
      </c>
      <c r="BJ12" s="15">
        <f t="shared" ref="BJ12" si="2">SUM(BJ13+BJ15+BJ19+BJ33+BJ35+BJ40+BJ42)</f>
        <v>0</v>
      </c>
      <c r="BK12" s="15">
        <f t="shared" si="1"/>
        <v>0</v>
      </c>
      <c r="BL12" s="15">
        <f t="shared" si="1"/>
        <v>0</v>
      </c>
      <c r="BM12" s="15">
        <f t="shared" si="1"/>
        <v>0</v>
      </c>
      <c r="BN12" s="15">
        <f t="shared" si="1"/>
        <v>4750665</v>
      </c>
      <c r="BO12" s="15">
        <f t="shared" si="1"/>
        <v>0</v>
      </c>
      <c r="BP12" s="15">
        <f t="shared" si="1"/>
        <v>0</v>
      </c>
      <c r="BQ12" s="15">
        <f t="shared" ref="BQ12:CM12" si="3">SUM(BQ13+BQ15+BQ19+BQ33+BQ35+BQ40+BQ42)</f>
        <v>10670</v>
      </c>
      <c r="BR12" s="15">
        <f t="shared" si="3"/>
        <v>0</v>
      </c>
      <c r="BS12" s="15">
        <f t="shared" si="3"/>
        <v>0</v>
      </c>
      <c r="BT12" s="15">
        <f t="shared" si="3"/>
        <v>0</v>
      </c>
      <c r="BU12" s="15">
        <f t="shared" si="3"/>
        <v>0</v>
      </c>
      <c r="BV12" s="15">
        <f t="shared" si="3"/>
        <v>0</v>
      </c>
      <c r="BW12" s="15">
        <f t="shared" si="3"/>
        <v>0</v>
      </c>
      <c r="BX12" s="15">
        <f t="shared" si="3"/>
        <v>4519995</v>
      </c>
      <c r="BY12" s="15">
        <f t="shared" si="3"/>
        <v>220000</v>
      </c>
      <c r="BZ12" s="15">
        <f t="shared" si="3"/>
        <v>7377979</v>
      </c>
      <c r="CA12" s="15">
        <f t="shared" si="3"/>
        <v>7377979</v>
      </c>
      <c r="CB12" s="15">
        <f t="shared" si="3"/>
        <v>5066553</v>
      </c>
      <c r="CC12" s="15">
        <f t="shared" si="3"/>
        <v>0</v>
      </c>
      <c r="CD12" s="15">
        <f t="shared" si="3"/>
        <v>5066553</v>
      </c>
      <c r="CE12" s="15">
        <f t="shared" si="3"/>
        <v>1749500</v>
      </c>
      <c r="CF12" s="15">
        <f t="shared" si="3"/>
        <v>1749500</v>
      </c>
      <c r="CG12" s="15">
        <f t="shared" si="3"/>
        <v>0</v>
      </c>
      <c r="CH12" s="15">
        <f t="shared" si="3"/>
        <v>0</v>
      </c>
      <c r="CI12" s="15">
        <f t="shared" si="3"/>
        <v>0</v>
      </c>
      <c r="CJ12" s="15">
        <f t="shared" si="3"/>
        <v>0</v>
      </c>
      <c r="CK12" s="15">
        <f t="shared" si="3"/>
        <v>561926</v>
      </c>
      <c r="CL12" s="15">
        <f t="shared" si="3"/>
        <v>0</v>
      </c>
      <c r="CM12" s="15">
        <f t="shared" si="3"/>
        <v>561926</v>
      </c>
      <c r="CN12" s="15"/>
      <c r="CO12" s="15">
        <f>SUM(CO13+CO15+CO19+CO33+CO35+CO40+CO42)</f>
        <v>0</v>
      </c>
      <c r="CP12" s="15">
        <f t="shared" ref="CP12:CR12" si="4">SUM(CP13+CP15+CP19+CP33+CP35+CP40+CP42)</f>
        <v>0</v>
      </c>
      <c r="CQ12" s="15">
        <f t="shared" si="4"/>
        <v>0</v>
      </c>
      <c r="CR12" s="15">
        <f t="shared" si="4"/>
        <v>0</v>
      </c>
      <c r="CS12" s="15">
        <f>SUM(CS13+CS15+CS19+CS33+CS35+CS40+CS42)</f>
        <v>0</v>
      </c>
      <c r="CT12" s="15">
        <f>SUM(CT13+CT15+CT19+CT33+CT35+CT40+CT42)</f>
        <v>0</v>
      </c>
      <c r="CU12" s="15">
        <f>SUM(CU13+CU15+CU19+CU33+CU35+CU40+CU42)</f>
        <v>0</v>
      </c>
      <c r="CV12" s="59">
        <f>SUM(CV13+CV15+CV19+CV33+CV35+CV40+CV42)</f>
        <v>0</v>
      </c>
      <c r="CW12" s="57"/>
    </row>
    <row r="13" spans="1:101" s="58" customFormat="1" ht="31.2" x14ac:dyDescent="0.3">
      <c r="A13" s="104" t="s">
        <v>43</v>
      </c>
      <c r="B13" s="16" t="s">
        <v>1</v>
      </c>
      <c r="C13" s="17" t="s">
        <v>44</v>
      </c>
      <c r="D13" s="18">
        <f>SUM(D14)</f>
        <v>36100629</v>
      </c>
      <c r="E13" s="18">
        <f t="shared" ref="E13:BT13" si="5">SUM(E14)</f>
        <v>32663703</v>
      </c>
      <c r="F13" s="18">
        <f t="shared" si="5"/>
        <v>32631881</v>
      </c>
      <c r="G13" s="18">
        <f>G14</f>
        <v>13999081</v>
      </c>
      <c r="H13" s="18">
        <f>H14</f>
        <v>3402045</v>
      </c>
      <c r="I13" s="18">
        <f t="shared" si="5"/>
        <v>2752837</v>
      </c>
      <c r="J13" s="18">
        <f t="shared" si="5"/>
        <v>0</v>
      </c>
      <c r="K13" s="18">
        <f t="shared" si="5"/>
        <v>32000</v>
      </c>
      <c r="L13" s="18">
        <f t="shared" si="5"/>
        <v>0</v>
      </c>
      <c r="M13" s="18">
        <f t="shared" si="5"/>
        <v>0</v>
      </c>
      <c r="N13" s="18">
        <f t="shared" si="5"/>
        <v>1888317</v>
      </c>
      <c r="O13" s="18">
        <f t="shared" si="5"/>
        <v>832520</v>
      </c>
      <c r="P13" s="18">
        <f t="shared" si="5"/>
        <v>633606</v>
      </c>
      <c r="Q13" s="18">
        <f t="shared" si="5"/>
        <v>856</v>
      </c>
      <c r="R13" s="18">
        <f t="shared" si="5"/>
        <v>632750</v>
      </c>
      <c r="S13" s="18">
        <f t="shared" si="5"/>
        <v>0</v>
      </c>
      <c r="T13" s="18">
        <f t="shared" si="5"/>
        <v>354306</v>
      </c>
      <c r="U13" s="18">
        <f t="shared" si="5"/>
        <v>641328</v>
      </c>
      <c r="V13" s="18">
        <f t="shared" si="5"/>
        <v>183250</v>
      </c>
      <c r="W13" s="18">
        <f t="shared" si="5"/>
        <v>102555</v>
      </c>
      <c r="X13" s="18">
        <f t="shared" si="5"/>
        <v>242807</v>
      </c>
      <c r="Y13" s="18">
        <f t="shared" si="5"/>
        <v>37203</v>
      </c>
      <c r="Z13" s="18">
        <f t="shared" si="5"/>
        <v>33885</v>
      </c>
      <c r="AA13" s="18">
        <f t="shared" si="5"/>
        <v>0</v>
      </c>
      <c r="AB13" s="18">
        <f t="shared" si="5"/>
        <v>0</v>
      </c>
      <c r="AC13" s="18">
        <f t="shared" si="5"/>
        <v>41628</v>
      </c>
      <c r="AD13" s="18">
        <f t="shared" si="5"/>
        <v>0</v>
      </c>
      <c r="AE13" s="18">
        <f t="shared" si="5"/>
        <v>10848678</v>
      </c>
      <c r="AF13" s="18">
        <f t="shared" si="5"/>
        <v>0</v>
      </c>
      <c r="AG13" s="18">
        <f t="shared" si="5"/>
        <v>0</v>
      </c>
      <c r="AH13" s="18">
        <f t="shared" si="5"/>
        <v>65500</v>
      </c>
      <c r="AI13" s="18">
        <f t="shared" si="5"/>
        <v>112260</v>
      </c>
      <c r="AJ13" s="18">
        <f t="shared" si="5"/>
        <v>0</v>
      </c>
      <c r="AK13" s="18">
        <f t="shared" si="5"/>
        <v>25455</v>
      </c>
      <c r="AL13" s="18">
        <f t="shared" si="5"/>
        <v>1000574</v>
      </c>
      <c r="AM13" s="18">
        <f t="shared" si="5"/>
        <v>15000</v>
      </c>
      <c r="AN13" s="18">
        <f t="shared" si="5"/>
        <v>310000</v>
      </c>
      <c r="AO13" s="18">
        <f t="shared" si="5"/>
        <v>5382939</v>
      </c>
      <c r="AP13" s="18">
        <f t="shared" si="5"/>
        <v>7326</v>
      </c>
      <c r="AQ13" s="18">
        <f t="shared" si="5"/>
        <v>0</v>
      </c>
      <c r="AR13" s="18">
        <f t="shared" si="5"/>
        <v>0</v>
      </c>
      <c r="AS13" s="18">
        <f t="shared" si="5"/>
        <v>13574</v>
      </c>
      <c r="AT13" s="18"/>
      <c r="AU13" s="18"/>
      <c r="AV13" s="18">
        <f t="shared" si="5"/>
        <v>0</v>
      </c>
      <c r="AW13" s="18">
        <f t="shared" si="5"/>
        <v>0</v>
      </c>
      <c r="AX13" s="18">
        <f t="shared" si="5"/>
        <v>0</v>
      </c>
      <c r="AY13" s="18"/>
      <c r="AZ13" s="18">
        <f t="shared" si="5"/>
        <v>3916050</v>
      </c>
      <c r="BA13" s="18">
        <f t="shared" si="5"/>
        <v>31822</v>
      </c>
      <c r="BB13" s="18">
        <f t="shared" si="5"/>
        <v>0</v>
      </c>
      <c r="BC13" s="18">
        <f t="shared" si="5"/>
        <v>0</v>
      </c>
      <c r="BD13" s="18">
        <f t="shared" si="5"/>
        <v>0</v>
      </c>
      <c r="BE13" s="18">
        <f t="shared" si="5"/>
        <v>0</v>
      </c>
      <c r="BF13" s="18">
        <f t="shared" si="5"/>
        <v>0</v>
      </c>
      <c r="BG13" s="18">
        <f t="shared" si="5"/>
        <v>0</v>
      </c>
      <c r="BH13" s="18">
        <f t="shared" si="5"/>
        <v>0</v>
      </c>
      <c r="BI13" s="18">
        <f t="shared" si="5"/>
        <v>0</v>
      </c>
      <c r="BJ13" s="18">
        <f t="shared" si="5"/>
        <v>0</v>
      </c>
      <c r="BK13" s="18">
        <f t="shared" si="5"/>
        <v>0</v>
      </c>
      <c r="BL13" s="18">
        <f t="shared" si="5"/>
        <v>0</v>
      </c>
      <c r="BM13" s="18">
        <f t="shared" si="5"/>
        <v>0</v>
      </c>
      <c r="BN13" s="18">
        <f t="shared" si="5"/>
        <v>31822</v>
      </c>
      <c r="BO13" s="18">
        <f t="shared" si="5"/>
        <v>0</v>
      </c>
      <c r="BP13" s="18">
        <f t="shared" si="5"/>
        <v>0</v>
      </c>
      <c r="BQ13" s="18">
        <f t="shared" si="5"/>
        <v>0</v>
      </c>
      <c r="BR13" s="18">
        <f t="shared" si="5"/>
        <v>0</v>
      </c>
      <c r="BS13" s="18">
        <f t="shared" si="5"/>
        <v>0</v>
      </c>
      <c r="BT13" s="18">
        <f t="shared" si="5"/>
        <v>0</v>
      </c>
      <c r="BU13" s="18">
        <f t="shared" ref="BU13:CV13" si="6">SUM(BU14)</f>
        <v>0</v>
      </c>
      <c r="BV13" s="18">
        <f t="shared" si="6"/>
        <v>0</v>
      </c>
      <c r="BW13" s="18">
        <f t="shared" si="6"/>
        <v>0</v>
      </c>
      <c r="BX13" s="18">
        <f t="shared" si="6"/>
        <v>31822</v>
      </c>
      <c r="BY13" s="18">
        <f t="shared" si="6"/>
        <v>0</v>
      </c>
      <c r="BZ13" s="18">
        <f t="shared" si="6"/>
        <v>3436926</v>
      </c>
      <c r="CA13" s="18">
        <f t="shared" si="6"/>
        <v>3436926</v>
      </c>
      <c r="CB13" s="18">
        <f t="shared" si="6"/>
        <v>1850000</v>
      </c>
      <c r="CC13" s="18">
        <f t="shared" si="6"/>
        <v>0</v>
      </c>
      <c r="CD13" s="18">
        <f t="shared" si="6"/>
        <v>1850000</v>
      </c>
      <c r="CE13" s="18">
        <f t="shared" si="6"/>
        <v>1025000</v>
      </c>
      <c r="CF13" s="18">
        <f t="shared" si="6"/>
        <v>1025000</v>
      </c>
      <c r="CG13" s="18">
        <f t="shared" si="6"/>
        <v>0</v>
      </c>
      <c r="CH13" s="18">
        <f t="shared" si="6"/>
        <v>0</v>
      </c>
      <c r="CI13" s="18">
        <f t="shared" si="6"/>
        <v>0</v>
      </c>
      <c r="CJ13" s="18">
        <f t="shared" si="6"/>
        <v>0</v>
      </c>
      <c r="CK13" s="18">
        <f t="shared" si="6"/>
        <v>561926</v>
      </c>
      <c r="CL13" s="18">
        <f t="shared" si="6"/>
        <v>0</v>
      </c>
      <c r="CM13" s="18">
        <f t="shared" si="6"/>
        <v>561926</v>
      </c>
      <c r="CN13" s="18"/>
      <c r="CO13" s="18">
        <f t="shared" si="6"/>
        <v>0</v>
      </c>
      <c r="CP13" s="74"/>
      <c r="CQ13" s="74"/>
      <c r="CR13" s="74"/>
      <c r="CS13" s="18">
        <f t="shared" si="6"/>
        <v>0</v>
      </c>
      <c r="CT13" s="18">
        <f t="shared" si="6"/>
        <v>0</v>
      </c>
      <c r="CU13" s="18">
        <f t="shared" si="6"/>
        <v>0</v>
      </c>
      <c r="CV13" s="46">
        <f t="shared" si="6"/>
        <v>0</v>
      </c>
      <c r="CW13" s="57"/>
    </row>
    <row r="14" spans="1:101" ht="15.6" x14ac:dyDescent="0.3">
      <c r="A14" s="105" t="s">
        <v>1</v>
      </c>
      <c r="B14" s="21" t="s">
        <v>45</v>
      </c>
      <c r="C14" s="22" t="s">
        <v>46</v>
      </c>
      <c r="D14" s="19">
        <f>SUM(E14+BZ14+CS14)</f>
        <v>36100629</v>
      </c>
      <c r="E14" s="19">
        <f>SUM(F14+BA14)</f>
        <v>32663703</v>
      </c>
      <c r="F14" s="19">
        <f>SUM(G14+H14+I14+P14+S14+T14+U14+AE14+AD14)</f>
        <v>32631881</v>
      </c>
      <c r="G14" s="23">
        <v>13999081</v>
      </c>
      <c r="H14" s="23">
        <v>3402045</v>
      </c>
      <c r="I14" s="19">
        <f t="shared" ref="I14:I70" si="7">SUM(J14:O14)</f>
        <v>2752837</v>
      </c>
      <c r="J14" s="19">
        <v>0</v>
      </c>
      <c r="K14" s="23">
        <v>32000</v>
      </c>
      <c r="L14" s="23">
        <v>0</v>
      </c>
      <c r="M14" s="23">
        <v>0</v>
      </c>
      <c r="N14" s="23">
        <v>1888317</v>
      </c>
      <c r="O14" s="23">
        <v>832520</v>
      </c>
      <c r="P14" s="19">
        <f t="shared" ref="P14:P70" si="8">SUM(Q14:R14)</f>
        <v>633606</v>
      </c>
      <c r="Q14" s="19">
        <v>856</v>
      </c>
      <c r="R14" s="19">
        <v>632750</v>
      </c>
      <c r="S14" s="19">
        <v>0</v>
      </c>
      <c r="T14" s="19">
        <v>354306</v>
      </c>
      <c r="U14" s="19">
        <f>SUM(V14:AC14)</f>
        <v>641328</v>
      </c>
      <c r="V14" s="23">
        <v>183250</v>
      </c>
      <c r="W14" s="23">
        <v>102555</v>
      </c>
      <c r="X14" s="23">
        <v>242807</v>
      </c>
      <c r="Y14" s="23">
        <v>37203</v>
      </c>
      <c r="Z14" s="23">
        <v>33885</v>
      </c>
      <c r="AA14" s="23">
        <v>0</v>
      </c>
      <c r="AB14" s="23">
        <v>0</v>
      </c>
      <c r="AC14" s="23">
        <v>41628</v>
      </c>
      <c r="AD14" s="19">
        <v>0</v>
      </c>
      <c r="AE14" s="19">
        <f>SUM(AF14:AZ14)</f>
        <v>10848678</v>
      </c>
      <c r="AF14" s="19">
        <v>0</v>
      </c>
      <c r="AG14" s="19">
        <v>0</v>
      </c>
      <c r="AH14" s="23">
        <v>65500</v>
      </c>
      <c r="AI14" s="23">
        <v>112260</v>
      </c>
      <c r="AJ14" s="23">
        <v>0</v>
      </c>
      <c r="AK14" s="23">
        <v>25455</v>
      </c>
      <c r="AL14" s="23">
        <v>1000574</v>
      </c>
      <c r="AM14" s="23">
        <v>15000</v>
      </c>
      <c r="AN14" s="23">
        <v>310000</v>
      </c>
      <c r="AO14" s="23">
        <v>5382939</v>
      </c>
      <c r="AP14" s="23">
        <v>7326</v>
      </c>
      <c r="AQ14" s="23">
        <v>0</v>
      </c>
      <c r="AR14" s="23">
        <v>0</v>
      </c>
      <c r="AS14" s="23">
        <v>13574</v>
      </c>
      <c r="AT14" s="23">
        <v>0</v>
      </c>
      <c r="AU14" s="23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3916050</v>
      </c>
      <c r="BA14" s="19">
        <f>SUM(BB14+BF14+BI14+BK14+BN14)</f>
        <v>31822</v>
      </c>
      <c r="BB14" s="19">
        <f>SUM(BC14:BE14)</f>
        <v>0</v>
      </c>
      <c r="BC14" s="19">
        <v>0</v>
      </c>
      <c r="BD14" s="19">
        <v>0</v>
      </c>
      <c r="BE14" s="19">
        <v>0</v>
      </c>
      <c r="BF14" s="19">
        <f>SUM(BH14:BH14)</f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f t="shared" ref="BK14:BK70" si="9">SUM(BL14)</f>
        <v>0</v>
      </c>
      <c r="BL14" s="19">
        <v>0</v>
      </c>
      <c r="BM14" s="19">
        <v>0</v>
      </c>
      <c r="BN14" s="19">
        <f>SUM(BO14:BY14)</f>
        <v>31822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31822</v>
      </c>
      <c r="BY14" s="19">
        <v>0</v>
      </c>
      <c r="BZ14" s="19">
        <f>SUM(CA14+CO14)</f>
        <v>3436926</v>
      </c>
      <c r="CA14" s="19">
        <f>SUM(CB14+CE14+CK14)</f>
        <v>3436926</v>
      </c>
      <c r="CB14" s="19">
        <f t="shared" ref="CB14:CB70" si="10">SUM(CC14:CD14)</f>
        <v>1850000</v>
      </c>
      <c r="CC14" s="19">
        <v>0</v>
      </c>
      <c r="CD14" s="19">
        <v>1850000</v>
      </c>
      <c r="CE14" s="19">
        <f>SUM(CF14:CJ14)</f>
        <v>1025000</v>
      </c>
      <c r="CF14" s="19">
        <v>1025000</v>
      </c>
      <c r="CG14" s="19">
        <v>0</v>
      </c>
      <c r="CH14" s="19">
        <v>0</v>
      </c>
      <c r="CI14" s="19">
        <v>0</v>
      </c>
      <c r="CJ14" s="19">
        <v>0</v>
      </c>
      <c r="CK14" s="19">
        <f>SUM(CL14:CN14)</f>
        <v>561926</v>
      </c>
      <c r="CL14" s="19"/>
      <c r="CM14" s="19">
        <v>561926</v>
      </c>
      <c r="CN14" s="19"/>
      <c r="CO14" s="19">
        <v>0</v>
      </c>
      <c r="CP14" s="75"/>
      <c r="CQ14" s="75"/>
      <c r="CR14" s="75"/>
      <c r="CS14" s="19">
        <f t="shared" ref="CS14:CS70" si="11">SUM(CT14)</f>
        <v>0</v>
      </c>
      <c r="CT14" s="19">
        <f t="shared" ref="CT14:CT70" si="12">SUM(CU14:CV14)</f>
        <v>0</v>
      </c>
      <c r="CU14" s="19">
        <v>0</v>
      </c>
      <c r="CV14" s="20">
        <v>0</v>
      </c>
      <c r="CW14" s="52"/>
    </row>
    <row r="15" spans="1:101" s="58" customFormat="1" ht="31.2" x14ac:dyDescent="0.3">
      <c r="A15" s="104" t="s">
        <v>47</v>
      </c>
      <c r="B15" s="16" t="s">
        <v>1</v>
      </c>
      <c r="C15" s="17" t="s">
        <v>551</v>
      </c>
      <c r="D15" s="18">
        <f>SUM(D16:D18)</f>
        <v>47334946</v>
      </c>
      <c r="E15" s="18">
        <f t="shared" ref="E15:BT15" si="13">SUM(E16:E18)</f>
        <v>45270427</v>
      </c>
      <c r="F15" s="18">
        <f t="shared" si="13"/>
        <v>43156732</v>
      </c>
      <c r="G15" s="18">
        <f t="shared" si="13"/>
        <v>28928027</v>
      </c>
      <c r="H15" s="18">
        <f t="shared" si="13"/>
        <v>6950022</v>
      </c>
      <c r="I15" s="18">
        <f t="shared" si="13"/>
        <v>2358081</v>
      </c>
      <c r="J15" s="18">
        <f t="shared" si="13"/>
        <v>0</v>
      </c>
      <c r="K15" s="18">
        <f t="shared" si="13"/>
        <v>0</v>
      </c>
      <c r="L15" s="18">
        <f t="shared" si="13"/>
        <v>0</v>
      </c>
      <c r="M15" s="18">
        <f t="shared" si="13"/>
        <v>0</v>
      </c>
      <c r="N15" s="18">
        <f t="shared" si="13"/>
        <v>1886160</v>
      </c>
      <c r="O15" s="18">
        <f t="shared" si="13"/>
        <v>471921</v>
      </c>
      <c r="P15" s="18">
        <f t="shared" si="13"/>
        <v>212741</v>
      </c>
      <c r="Q15" s="18">
        <f t="shared" si="13"/>
        <v>0</v>
      </c>
      <c r="R15" s="18">
        <f t="shared" si="13"/>
        <v>212741</v>
      </c>
      <c r="S15" s="18">
        <f t="shared" si="13"/>
        <v>0</v>
      </c>
      <c r="T15" s="18">
        <f t="shared" si="13"/>
        <v>274402</v>
      </c>
      <c r="U15" s="18">
        <f t="shared" si="13"/>
        <v>175724</v>
      </c>
      <c r="V15" s="18">
        <f t="shared" si="13"/>
        <v>79520</v>
      </c>
      <c r="W15" s="18">
        <f t="shared" si="13"/>
        <v>22183</v>
      </c>
      <c r="X15" s="18">
        <f t="shared" si="13"/>
        <v>41850</v>
      </c>
      <c r="Y15" s="18">
        <f t="shared" si="13"/>
        <v>12556</v>
      </c>
      <c r="Z15" s="18">
        <f t="shared" si="13"/>
        <v>6271</v>
      </c>
      <c r="AA15" s="18">
        <f t="shared" si="13"/>
        <v>0</v>
      </c>
      <c r="AB15" s="18">
        <f t="shared" si="13"/>
        <v>0</v>
      </c>
      <c r="AC15" s="18">
        <f t="shared" si="13"/>
        <v>13344</v>
      </c>
      <c r="AD15" s="18">
        <f t="shared" si="13"/>
        <v>0</v>
      </c>
      <c r="AE15" s="18">
        <f t="shared" si="13"/>
        <v>4257735</v>
      </c>
      <c r="AF15" s="18">
        <f t="shared" si="13"/>
        <v>100000</v>
      </c>
      <c r="AG15" s="18">
        <f t="shared" si="13"/>
        <v>0</v>
      </c>
      <c r="AH15" s="18">
        <f t="shared" si="13"/>
        <v>52017</v>
      </c>
      <c r="AI15" s="18">
        <f t="shared" si="13"/>
        <v>197226</v>
      </c>
      <c r="AJ15" s="18">
        <f t="shared" si="13"/>
        <v>0</v>
      </c>
      <c r="AK15" s="18">
        <f t="shared" si="13"/>
        <v>39959</v>
      </c>
      <c r="AL15" s="18">
        <f t="shared" si="13"/>
        <v>28000</v>
      </c>
      <c r="AM15" s="18">
        <f t="shared" si="13"/>
        <v>4500</v>
      </c>
      <c r="AN15" s="18">
        <f t="shared" si="13"/>
        <v>173176</v>
      </c>
      <c r="AO15" s="18">
        <f t="shared" si="13"/>
        <v>1825206</v>
      </c>
      <c r="AP15" s="18">
        <f t="shared" si="13"/>
        <v>0</v>
      </c>
      <c r="AQ15" s="18">
        <f t="shared" si="13"/>
        <v>0</v>
      </c>
      <c r="AR15" s="18">
        <f t="shared" si="13"/>
        <v>106783</v>
      </c>
      <c r="AS15" s="18">
        <f t="shared" si="13"/>
        <v>51491</v>
      </c>
      <c r="AT15" s="18"/>
      <c r="AU15" s="18"/>
      <c r="AV15" s="18">
        <f t="shared" si="13"/>
        <v>0</v>
      </c>
      <c r="AW15" s="18">
        <f t="shared" si="13"/>
        <v>0</v>
      </c>
      <c r="AX15" s="18">
        <f t="shared" si="13"/>
        <v>100320</v>
      </c>
      <c r="AY15" s="18"/>
      <c r="AZ15" s="18">
        <f t="shared" si="13"/>
        <v>1579057</v>
      </c>
      <c r="BA15" s="18">
        <f t="shared" si="13"/>
        <v>2113695</v>
      </c>
      <c r="BB15" s="18">
        <f t="shared" si="13"/>
        <v>0</v>
      </c>
      <c r="BC15" s="18">
        <f t="shared" si="13"/>
        <v>0</v>
      </c>
      <c r="BD15" s="18">
        <f t="shared" si="13"/>
        <v>0</v>
      </c>
      <c r="BE15" s="18">
        <f t="shared" si="13"/>
        <v>0</v>
      </c>
      <c r="BF15" s="18">
        <f t="shared" si="13"/>
        <v>0</v>
      </c>
      <c r="BG15" s="18">
        <f t="shared" si="13"/>
        <v>0</v>
      </c>
      <c r="BH15" s="18">
        <f t="shared" si="13"/>
        <v>0</v>
      </c>
      <c r="BI15" s="18">
        <f t="shared" si="13"/>
        <v>0</v>
      </c>
      <c r="BJ15" s="18">
        <f t="shared" ref="BJ15" si="14">SUM(BJ16:BJ18)</f>
        <v>0</v>
      </c>
      <c r="BK15" s="18">
        <f t="shared" si="13"/>
        <v>0</v>
      </c>
      <c r="BL15" s="18">
        <f t="shared" si="13"/>
        <v>0</v>
      </c>
      <c r="BM15" s="18">
        <f t="shared" ref="BM15" si="15">SUM(BM16:BM18)</f>
        <v>0</v>
      </c>
      <c r="BN15" s="18">
        <f>SUM(BN16:BN18)</f>
        <v>2113695</v>
      </c>
      <c r="BO15" s="18">
        <f t="shared" si="13"/>
        <v>0</v>
      </c>
      <c r="BP15" s="18">
        <f t="shared" si="13"/>
        <v>0</v>
      </c>
      <c r="BQ15" s="18">
        <f t="shared" si="13"/>
        <v>0</v>
      </c>
      <c r="BR15" s="18">
        <f t="shared" si="13"/>
        <v>0</v>
      </c>
      <c r="BS15" s="18">
        <f t="shared" si="13"/>
        <v>0</v>
      </c>
      <c r="BT15" s="18">
        <f t="shared" si="13"/>
        <v>0</v>
      </c>
      <c r="BU15" s="18">
        <f t="shared" ref="BU15:CV15" si="16">SUM(BU16:BU18)</f>
        <v>0</v>
      </c>
      <c r="BV15" s="18">
        <f t="shared" si="16"/>
        <v>0</v>
      </c>
      <c r="BW15" s="18">
        <f t="shared" si="16"/>
        <v>0</v>
      </c>
      <c r="BX15" s="18">
        <f t="shared" si="16"/>
        <v>1893695</v>
      </c>
      <c r="BY15" s="18">
        <f t="shared" si="16"/>
        <v>220000</v>
      </c>
      <c r="BZ15" s="18">
        <f t="shared" si="16"/>
        <v>2064519</v>
      </c>
      <c r="CA15" s="18">
        <f t="shared" si="16"/>
        <v>2064519</v>
      </c>
      <c r="CB15" s="18">
        <f t="shared" si="16"/>
        <v>1340019</v>
      </c>
      <c r="CC15" s="18">
        <f t="shared" si="16"/>
        <v>0</v>
      </c>
      <c r="CD15" s="18">
        <f t="shared" si="16"/>
        <v>1340019</v>
      </c>
      <c r="CE15" s="18">
        <f t="shared" si="16"/>
        <v>724500</v>
      </c>
      <c r="CF15" s="18">
        <f t="shared" si="16"/>
        <v>724500</v>
      </c>
      <c r="CG15" s="18">
        <f t="shared" ref="CG15:CH15" si="17">SUM(CG16:CG18)</f>
        <v>0</v>
      </c>
      <c r="CH15" s="18">
        <f t="shared" si="17"/>
        <v>0</v>
      </c>
      <c r="CI15" s="18">
        <f t="shared" si="16"/>
        <v>0</v>
      </c>
      <c r="CJ15" s="18">
        <f t="shared" ref="CJ15" si="18">SUM(CJ16:CJ18)</f>
        <v>0</v>
      </c>
      <c r="CK15" s="18">
        <f t="shared" si="16"/>
        <v>0</v>
      </c>
      <c r="CL15" s="18">
        <f t="shared" ref="CL15" si="19">SUM(CL16:CL18)</f>
        <v>0</v>
      </c>
      <c r="CM15" s="18">
        <f t="shared" si="16"/>
        <v>0</v>
      </c>
      <c r="CN15" s="18"/>
      <c r="CO15" s="18">
        <f t="shared" si="16"/>
        <v>0</v>
      </c>
      <c r="CP15" s="74"/>
      <c r="CQ15" s="74"/>
      <c r="CR15" s="74"/>
      <c r="CS15" s="18">
        <f t="shared" si="16"/>
        <v>0</v>
      </c>
      <c r="CT15" s="18">
        <f t="shared" si="16"/>
        <v>0</v>
      </c>
      <c r="CU15" s="18">
        <f t="shared" si="16"/>
        <v>0</v>
      </c>
      <c r="CV15" s="46">
        <f t="shared" si="16"/>
        <v>0</v>
      </c>
      <c r="CW15" s="57"/>
    </row>
    <row r="16" spans="1:101" ht="15.6" x14ac:dyDescent="0.3">
      <c r="A16" s="105" t="s">
        <v>1</v>
      </c>
      <c r="B16" s="21" t="s">
        <v>48</v>
      </c>
      <c r="C16" s="22" t="s">
        <v>49</v>
      </c>
      <c r="D16" s="19">
        <f>SUM(E16+BZ16+CS16)</f>
        <v>33008724</v>
      </c>
      <c r="E16" s="19">
        <f>SUM(F16+BA16)</f>
        <v>31364937</v>
      </c>
      <c r="F16" s="19">
        <f>SUM(G16+H16+I16+P16+S16+T16+U16+AE16+AD16)</f>
        <v>29486371</v>
      </c>
      <c r="G16" s="23">
        <v>19200000</v>
      </c>
      <c r="H16" s="23">
        <v>4597654</v>
      </c>
      <c r="I16" s="19">
        <f t="shared" si="7"/>
        <v>1553862</v>
      </c>
      <c r="J16" s="24"/>
      <c r="K16" s="24"/>
      <c r="L16" s="24"/>
      <c r="M16" s="24"/>
      <c r="N16" s="23">
        <v>1341004</v>
      </c>
      <c r="O16" s="23">
        <v>212858</v>
      </c>
      <c r="P16" s="19">
        <f t="shared" si="8"/>
        <v>200000</v>
      </c>
      <c r="Q16" s="24">
        <v>0</v>
      </c>
      <c r="R16" s="24">
        <v>200000</v>
      </c>
      <c r="S16" s="24">
        <v>0</v>
      </c>
      <c r="T16" s="23">
        <v>142334</v>
      </c>
      <c r="U16" s="19">
        <f>SUM(V16:AC16)</f>
        <v>40294</v>
      </c>
      <c r="V16" s="23">
        <v>35020</v>
      </c>
      <c r="W16" s="23">
        <v>1823</v>
      </c>
      <c r="X16" s="23">
        <v>1951</v>
      </c>
      <c r="Y16" s="23">
        <v>945</v>
      </c>
      <c r="Z16" s="23">
        <v>466</v>
      </c>
      <c r="AA16" s="23">
        <v>0</v>
      </c>
      <c r="AB16" s="23">
        <v>0</v>
      </c>
      <c r="AC16" s="23">
        <v>89</v>
      </c>
      <c r="AD16" s="24">
        <v>0</v>
      </c>
      <c r="AE16" s="19">
        <f>SUM(AF16:AZ16)</f>
        <v>3752227</v>
      </c>
      <c r="AF16" s="24">
        <v>100000</v>
      </c>
      <c r="AG16" s="24">
        <v>0</v>
      </c>
      <c r="AH16" s="23">
        <v>30100</v>
      </c>
      <c r="AI16" s="23">
        <v>100000</v>
      </c>
      <c r="AJ16" s="23">
        <v>0</v>
      </c>
      <c r="AK16" s="23">
        <v>31000</v>
      </c>
      <c r="AL16" s="23">
        <v>25000</v>
      </c>
      <c r="AM16" s="23">
        <v>2000</v>
      </c>
      <c r="AN16" s="23">
        <v>165220</v>
      </c>
      <c r="AO16" s="23">
        <v>1704033</v>
      </c>
      <c r="AP16" s="23">
        <v>0</v>
      </c>
      <c r="AQ16" s="23">
        <v>0</v>
      </c>
      <c r="AR16" s="23">
        <v>19553</v>
      </c>
      <c r="AS16" s="23">
        <v>16692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1558629</v>
      </c>
      <c r="BA16" s="19">
        <f>SUM(BB16+BF16+BI16+BK16+BN16)</f>
        <v>1878566</v>
      </c>
      <c r="BB16" s="19">
        <f>SUM(BC16:BE16)</f>
        <v>0</v>
      </c>
      <c r="BC16" s="19">
        <v>0</v>
      </c>
      <c r="BD16" s="19">
        <v>0</v>
      </c>
      <c r="BE16" s="19">
        <v>0</v>
      </c>
      <c r="BF16" s="19">
        <f>SUM(BH16:BH16)</f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f t="shared" si="9"/>
        <v>0</v>
      </c>
      <c r="BL16" s="19">
        <v>0</v>
      </c>
      <c r="BM16" s="19">
        <v>0</v>
      </c>
      <c r="BN16" s="19">
        <f>SUM(BO16:BY16)</f>
        <v>1878566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23">
        <v>1878566</v>
      </c>
      <c r="BY16" s="19"/>
      <c r="BZ16" s="19">
        <f>SUM(CA16+CO16)</f>
        <v>1643787</v>
      </c>
      <c r="CA16" s="19">
        <f>SUM(CB16+CE16+CK16)</f>
        <v>1643787</v>
      </c>
      <c r="CB16" s="19">
        <f t="shared" si="10"/>
        <v>919287</v>
      </c>
      <c r="CC16" s="19">
        <v>0</v>
      </c>
      <c r="CD16" s="23">
        <v>919287</v>
      </c>
      <c r="CE16" s="19">
        <f t="shared" ref="CE16:CE18" si="20">SUM(CF16:CJ16)</f>
        <v>724500</v>
      </c>
      <c r="CF16" s="23">
        <v>724500</v>
      </c>
      <c r="CG16" s="23"/>
      <c r="CH16" s="19">
        <v>0</v>
      </c>
      <c r="CI16" s="19">
        <v>0</v>
      </c>
      <c r="CJ16" s="19">
        <v>0</v>
      </c>
      <c r="CK16" s="19">
        <f>SUM(CL16:CN16)</f>
        <v>0</v>
      </c>
      <c r="CL16" s="19">
        <v>0</v>
      </c>
      <c r="CM16" s="19">
        <v>0</v>
      </c>
      <c r="CN16" s="19"/>
      <c r="CO16" s="19">
        <v>0</v>
      </c>
      <c r="CP16" s="75"/>
      <c r="CQ16" s="75"/>
      <c r="CR16" s="75"/>
      <c r="CS16" s="19">
        <f t="shared" si="11"/>
        <v>0</v>
      </c>
      <c r="CT16" s="19">
        <f t="shared" si="12"/>
        <v>0</v>
      </c>
      <c r="CU16" s="19">
        <v>0</v>
      </c>
      <c r="CV16" s="20">
        <v>0</v>
      </c>
      <c r="CW16" s="52"/>
    </row>
    <row r="17" spans="1:101" ht="15.6" x14ac:dyDescent="0.3">
      <c r="A17" s="105" t="s">
        <v>1</v>
      </c>
      <c r="B17" s="21" t="s">
        <v>50</v>
      </c>
      <c r="C17" s="22" t="s">
        <v>460</v>
      </c>
      <c r="D17" s="19">
        <f>SUM(E17+BZ17+CS17)</f>
        <v>12160524</v>
      </c>
      <c r="E17" s="19">
        <f>SUM(F17+BA17)</f>
        <v>11764861</v>
      </c>
      <c r="F17" s="19">
        <f>SUM(G17+H17+I17+P17+S17+T17+U17+AE17+AD17)</f>
        <v>11537586</v>
      </c>
      <c r="G17" s="23">
        <v>8302554</v>
      </c>
      <c r="H17" s="23">
        <v>2019920</v>
      </c>
      <c r="I17" s="19">
        <f t="shared" si="7"/>
        <v>596344</v>
      </c>
      <c r="J17" s="24"/>
      <c r="K17" s="24"/>
      <c r="L17" s="24"/>
      <c r="M17" s="24"/>
      <c r="N17" s="23">
        <f>527104-131000</f>
        <v>396104</v>
      </c>
      <c r="O17" s="23">
        <f>238229-37989</f>
        <v>200240</v>
      </c>
      <c r="P17" s="19">
        <f t="shared" si="8"/>
        <v>0</v>
      </c>
      <c r="Q17" s="24">
        <v>0</v>
      </c>
      <c r="R17" s="24">
        <v>0</v>
      </c>
      <c r="S17" s="24">
        <v>0</v>
      </c>
      <c r="T17" s="23">
        <f>57826+9994</f>
        <v>67820</v>
      </c>
      <c r="U17" s="19">
        <f>SUM(V17:AC17)</f>
        <v>118782</v>
      </c>
      <c r="V17" s="23">
        <f>51168-6668</f>
        <v>44500</v>
      </c>
      <c r="W17" s="23">
        <v>13337</v>
      </c>
      <c r="X17" s="23">
        <v>31928</v>
      </c>
      <c r="Y17" s="23">
        <v>9957</v>
      </c>
      <c r="Z17" s="23">
        <v>5805</v>
      </c>
      <c r="AA17" s="23">
        <v>0</v>
      </c>
      <c r="AB17" s="23">
        <v>0</v>
      </c>
      <c r="AC17" s="23">
        <v>13255</v>
      </c>
      <c r="AD17" s="24">
        <v>0</v>
      </c>
      <c r="AE17" s="19">
        <f>SUM(AF17:AZ17)</f>
        <v>432166</v>
      </c>
      <c r="AF17" s="24"/>
      <c r="AG17" s="24">
        <v>0</v>
      </c>
      <c r="AH17" s="23">
        <v>14630</v>
      </c>
      <c r="AI17" s="23">
        <v>96000</v>
      </c>
      <c r="AJ17" s="23">
        <v>0</v>
      </c>
      <c r="AK17" s="23">
        <v>8959</v>
      </c>
      <c r="AL17" s="23">
        <v>3000</v>
      </c>
      <c r="AM17" s="23">
        <v>2500</v>
      </c>
      <c r="AN17" s="23">
        <v>0</v>
      </c>
      <c r="AO17" s="23">
        <v>103560</v>
      </c>
      <c r="AP17" s="23">
        <v>0</v>
      </c>
      <c r="AQ17" s="23">
        <v>0</v>
      </c>
      <c r="AR17" s="23">
        <v>56470</v>
      </c>
      <c r="AS17" s="23">
        <v>34799</v>
      </c>
      <c r="AT17" s="23">
        <v>0</v>
      </c>
      <c r="AU17" s="23">
        <v>0</v>
      </c>
      <c r="AV17" s="23">
        <v>0</v>
      </c>
      <c r="AW17" s="23">
        <v>0</v>
      </c>
      <c r="AX17" s="23">
        <v>100320</v>
      </c>
      <c r="AY17" s="23">
        <v>0</v>
      </c>
      <c r="AZ17" s="23">
        <v>11928</v>
      </c>
      <c r="BA17" s="19">
        <f>SUM(BB17+BF17+BI17+BK17+BN17)</f>
        <v>227275</v>
      </c>
      <c r="BB17" s="19">
        <f>SUM(BC17:BE17)</f>
        <v>0</v>
      </c>
      <c r="BC17" s="19">
        <v>0</v>
      </c>
      <c r="BD17" s="19">
        <v>0</v>
      </c>
      <c r="BE17" s="19">
        <v>0</v>
      </c>
      <c r="BF17" s="19">
        <f>SUM(BH17:BH17)</f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f t="shared" si="9"/>
        <v>0</v>
      </c>
      <c r="BL17" s="19">
        <v>0</v>
      </c>
      <c r="BM17" s="19">
        <v>0</v>
      </c>
      <c r="BN17" s="19">
        <f>SUM(BO17:BY17)</f>
        <v>227275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  <c r="BW17" s="19">
        <v>0</v>
      </c>
      <c r="BX17" s="23">
        <v>7275</v>
      </c>
      <c r="BY17" s="19">
        <v>220000</v>
      </c>
      <c r="BZ17" s="19">
        <f>SUM(CA17+CO17)</f>
        <v>395663</v>
      </c>
      <c r="CA17" s="19">
        <f>SUM(CB17+CE17+CK17)</f>
        <v>395663</v>
      </c>
      <c r="CB17" s="19">
        <f t="shared" si="10"/>
        <v>395663</v>
      </c>
      <c r="CC17" s="19">
        <v>0</v>
      </c>
      <c r="CD17" s="23">
        <f>230000+165663</f>
        <v>395663</v>
      </c>
      <c r="CE17" s="19">
        <f t="shared" si="20"/>
        <v>0</v>
      </c>
      <c r="CF17" s="23"/>
      <c r="CG17" s="23"/>
      <c r="CH17" s="19">
        <v>0</v>
      </c>
      <c r="CI17" s="19">
        <v>0</v>
      </c>
      <c r="CJ17" s="19">
        <v>0</v>
      </c>
      <c r="CK17" s="19">
        <f>SUM(CL17:CN17)</f>
        <v>0</v>
      </c>
      <c r="CL17" s="19">
        <v>0</v>
      </c>
      <c r="CM17" s="19"/>
      <c r="CN17" s="19"/>
      <c r="CO17" s="19">
        <v>0</v>
      </c>
      <c r="CP17" s="75"/>
      <c r="CQ17" s="75"/>
      <c r="CR17" s="75"/>
      <c r="CS17" s="19">
        <f t="shared" si="11"/>
        <v>0</v>
      </c>
      <c r="CT17" s="19">
        <f t="shared" si="12"/>
        <v>0</v>
      </c>
      <c r="CU17" s="19">
        <v>0</v>
      </c>
      <c r="CV17" s="20">
        <v>0</v>
      </c>
      <c r="CW17" s="52"/>
    </row>
    <row r="18" spans="1:101" ht="31.2" x14ac:dyDescent="0.3">
      <c r="A18" s="105" t="s">
        <v>1</v>
      </c>
      <c r="B18" s="21" t="s">
        <v>51</v>
      </c>
      <c r="C18" s="22" t="s">
        <v>52</v>
      </c>
      <c r="D18" s="19">
        <f>SUM(E18+BZ18+CS18)</f>
        <v>2165698</v>
      </c>
      <c r="E18" s="19">
        <f>SUM(F18+BA18)</f>
        <v>2140629</v>
      </c>
      <c r="F18" s="19">
        <f>SUM(G18+H18+I18+P18+S18+T18+U18+AE18+AD18)</f>
        <v>2132775</v>
      </c>
      <c r="G18" s="23">
        <v>1425473</v>
      </c>
      <c r="H18" s="23">
        <v>332448</v>
      </c>
      <c r="I18" s="19">
        <f t="shared" si="7"/>
        <v>207875</v>
      </c>
      <c r="J18" s="24"/>
      <c r="K18" s="24"/>
      <c r="L18" s="24"/>
      <c r="M18" s="24"/>
      <c r="N18" s="23">
        <v>149052</v>
      </c>
      <c r="O18" s="23">
        <v>58823</v>
      </c>
      <c r="P18" s="19">
        <f t="shared" si="8"/>
        <v>12741</v>
      </c>
      <c r="Q18" s="24">
        <v>0</v>
      </c>
      <c r="R18" s="24">
        <v>12741</v>
      </c>
      <c r="S18" s="24">
        <v>0</v>
      </c>
      <c r="T18" s="23">
        <v>64248</v>
      </c>
      <c r="U18" s="19">
        <f>SUM(V18:AC18)</f>
        <v>16648</v>
      </c>
      <c r="V18" s="23">
        <v>0</v>
      </c>
      <c r="W18" s="23">
        <v>7023</v>
      </c>
      <c r="X18" s="23">
        <v>7971</v>
      </c>
      <c r="Y18" s="23">
        <v>1654</v>
      </c>
      <c r="Z18" s="23">
        <v>0</v>
      </c>
      <c r="AA18" s="23">
        <v>0</v>
      </c>
      <c r="AB18" s="23">
        <v>0</v>
      </c>
      <c r="AC18" s="23">
        <v>0</v>
      </c>
      <c r="AD18" s="24">
        <v>0</v>
      </c>
      <c r="AE18" s="19">
        <f>SUM(AF18:AZ18)</f>
        <v>73342</v>
      </c>
      <c r="AF18" s="24"/>
      <c r="AG18" s="24">
        <v>0</v>
      </c>
      <c r="AH18" s="23">
        <v>7287</v>
      </c>
      <c r="AI18" s="23">
        <v>1226</v>
      </c>
      <c r="AJ18" s="23">
        <v>0</v>
      </c>
      <c r="AK18" s="23">
        <v>0</v>
      </c>
      <c r="AL18" s="23">
        <v>0</v>
      </c>
      <c r="AM18" s="23">
        <v>0</v>
      </c>
      <c r="AN18" s="23">
        <v>7956</v>
      </c>
      <c r="AO18" s="23">
        <v>17613</v>
      </c>
      <c r="AP18" s="23">
        <v>0</v>
      </c>
      <c r="AQ18" s="23">
        <v>0</v>
      </c>
      <c r="AR18" s="23">
        <v>30760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8500</v>
      </c>
      <c r="BA18" s="19">
        <f>SUM(BB18+BF18+BI18+BK18+BN18)</f>
        <v>7854</v>
      </c>
      <c r="BB18" s="19">
        <f>SUM(BC18:BE18)</f>
        <v>0</v>
      </c>
      <c r="BC18" s="19">
        <v>0</v>
      </c>
      <c r="BD18" s="19">
        <v>0</v>
      </c>
      <c r="BE18" s="19">
        <v>0</v>
      </c>
      <c r="BF18" s="19">
        <f>SUM(BH18:BH18)</f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f t="shared" si="9"/>
        <v>0</v>
      </c>
      <c r="BL18" s="19">
        <v>0</v>
      </c>
      <c r="BM18" s="19">
        <v>0</v>
      </c>
      <c r="BN18" s="19">
        <f>SUM(BO18:BY18)</f>
        <v>7854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23">
        <v>7854</v>
      </c>
      <c r="BY18" s="19"/>
      <c r="BZ18" s="19">
        <f>SUM(CA18+CO18)</f>
        <v>25069</v>
      </c>
      <c r="CA18" s="19">
        <f>SUM(CB18+CE18+CK18)</f>
        <v>25069</v>
      </c>
      <c r="CB18" s="19">
        <f t="shared" si="10"/>
        <v>25069</v>
      </c>
      <c r="CC18" s="19">
        <v>0</v>
      </c>
      <c r="CD18" s="23">
        <v>25069</v>
      </c>
      <c r="CE18" s="19">
        <f t="shared" si="20"/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f>SUM(CL18:CN18)</f>
        <v>0</v>
      </c>
      <c r="CL18" s="19">
        <v>0</v>
      </c>
      <c r="CM18" s="19">
        <v>0</v>
      </c>
      <c r="CN18" s="19"/>
      <c r="CO18" s="19">
        <v>0</v>
      </c>
      <c r="CP18" s="75"/>
      <c r="CQ18" s="75"/>
      <c r="CR18" s="75"/>
      <c r="CS18" s="19">
        <f t="shared" si="11"/>
        <v>0</v>
      </c>
      <c r="CT18" s="19">
        <f t="shared" si="12"/>
        <v>0</v>
      </c>
      <c r="CU18" s="19">
        <v>0</v>
      </c>
      <c r="CV18" s="20">
        <v>0</v>
      </c>
      <c r="CW18" s="52"/>
    </row>
    <row r="19" spans="1:101" s="58" customFormat="1" ht="31.2" x14ac:dyDescent="0.3">
      <c r="A19" s="104" t="s">
        <v>53</v>
      </c>
      <c r="B19" s="16" t="s">
        <v>1</v>
      </c>
      <c r="C19" s="17" t="s">
        <v>550</v>
      </c>
      <c r="D19" s="18">
        <f t="shared" ref="D19:AS19" si="21">SUM(D20:D32)</f>
        <v>104669118</v>
      </c>
      <c r="E19" s="18">
        <f t="shared" si="21"/>
        <v>103649844</v>
      </c>
      <c r="F19" s="18">
        <f t="shared" si="21"/>
        <v>103373718</v>
      </c>
      <c r="G19" s="18">
        <f t="shared" si="21"/>
        <v>72184734</v>
      </c>
      <c r="H19" s="18">
        <f t="shared" si="21"/>
        <v>17329517</v>
      </c>
      <c r="I19" s="18">
        <f t="shared" si="21"/>
        <v>4160358</v>
      </c>
      <c r="J19" s="18">
        <f t="shared" si="21"/>
        <v>0</v>
      </c>
      <c r="K19" s="18">
        <f t="shared" si="21"/>
        <v>30027</v>
      </c>
      <c r="L19" s="18">
        <f t="shared" si="21"/>
        <v>0</v>
      </c>
      <c r="M19" s="18">
        <f t="shared" si="21"/>
        <v>0</v>
      </c>
      <c r="N19" s="18">
        <f t="shared" si="21"/>
        <v>2638868</v>
      </c>
      <c r="O19" s="18">
        <f t="shared" si="21"/>
        <v>1491463</v>
      </c>
      <c r="P19" s="18">
        <f t="shared" si="21"/>
        <v>838648</v>
      </c>
      <c r="Q19" s="18">
        <f t="shared" si="21"/>
        <v>0</v>
      </c>
      <c r="R19" s="18">
        <f t="shared" si="21"/>
        <v>838648</v>
      </c>
      <c r="S19" s="18">
        <f t="shared" si="21"/>
        <v>0</v>
      </c>
      <c r="T19" s="18">
        <f t="shared" si="21"/>
        <v>2186278</v>
      </c>
      <c r="U19" s="18">
        <f t="shared" si="21"/>
        <v>1623522</v>
      </c>
      <c r="V19" s="18">
        <f t="shared" si="21"/>
        <v>268023</v>
      </c>
      <c r="W19" s="18">
        <f t="shared" si="21"/>
        <v>688367</v>
      </c>
      <c r="X19" s="18">
        <f t="shared" si="21"/>
        <v>440766</v>
      </c>
      <c r="Y19" s="18">
        <f t="shared" si="21"/>
        <v>89241</v>
      </c>
      <c r="Z19" s="18">
        <f t="shared" si="21"/>
        <v>50454</v>
      </c>
      <c r="AA19" s="18">
        <f t="shared" si="21"/>
        <v>47552</v>
      </c>
      <c r="AB19" s="18">
        <f t="shared" si="21"/>
        <v>0</v>
      </c>
      <c r="AC19" s="18">
        <f t="shared" si="21"/>
        <v>39119</v>
      </c>
      <c r="AD19" s="18">
        <f t="shared" si="21"/>
        <v>19182</v>
      </c>
      <c r="AE19" s="18">
        <f t="shared" si="21"/>
        <v>5031479</v>
      </c>
      <c r="AF19" s="18">
        <f t="shared" si="21"/>
        <v>0</v>
      </c>
      <c r="AG19" s="18">
        <f t="shared" si="21"/>
        <v>0</v>
      </c>
      <c r="AH19" s="18">
        <f t="shared" si="21"/>
        <v>134374</v>
      </c>
      <c r="AI19" s="18">
        <f t="shared" si="21"/>
        <v>368494</v>
      </c>
      <c r="AJ19" s="18">
        <f t="shared" si="21"/>
        <v>0</v>
      </c>
      <c r="AK19" s="18">
        <f t="shared" si="21"/>
        <v>21242</v>
      </c>
      <c r="AL19" s="18">
        <f t="shared" si="21"/>
        <v>2080</v>
      </c>
      <c r="AM19" s="18">
        <f t="shared" si="21"/>
        <v>253096</v>
      </c>
      <c r="AN19" s="18">
        <f t="shared" si="21"/>
        <v>153114</v>
      </c>
      <c r="AO19" s="18">
        <f t="shared" si="21"/>
        <v>683623</v>
      </c>
      <c r="AP19" s="18">
        <f t="shared" si="21"/>
        <v>0</v>
      </c>
      <c r="AQ19" s="18">
        <f t="shared" si="21"/>
        <v>0</v>
      </c>
      <c r="AR19" s="18">
        <f t="shared" si="21"/>
        <v>767402</v>
      </c>
      <c r="AS19" s="18">
        <f t="shared" si="21"/>
        <v>294909</v>
      </c>
      <c r="AT19" s="18"/>
      <c r="AU19" s="18"/>
      <c r="AV19" s="18">
        <f t="shared" ref="AV19:CM19" si="22">SUM(AV20:AV32)</f>
        <v>0</v>
      </c>
      <c r="AW19" s="18">
        <f t="shared" si="22"/>
        <v>0</v>
      </c>
      <c r="AX19" s="18">
        <f t="shared" si="22"/>
        <v>1920970</v>
      </c>
      <c r="AY19" s="18">
        <f t="shared" si="22"/>
        <v>176645</v>
      </c>
      <c r="AZ19" s="18">
        <f t="shared" si="22"/>
        <v>255530</v>
      </c>
      <c r="BA19" s="18">
        <f t="shared" si="22"/>
        <v>276126</v>
      </c>
      <c r="BB19" s="18">
        <f t="shared" si="22"/>
        <v>0</v>
      </c>
      <c r="BC19" s="18">
        <f t="shared" si="22"/>
        <v>0</v>
      </c>
      <c r="BD19" s="18">
        <f t="shared" si="22"/>
        <v>0</v>
      </c>
      <c r="BE19" s="18">
        <f t="shared" si="22"/>
        <v>0</v>
      </c>
      <c r="BF19" s="18">
        <f t="shared" si="22"/>
        <v>0</v>
      </c>
      <c r="BG19" s="18">
        <f t="shared" si="22"/>
        <v>0</v>
      </c>
      <c r="BH19" s="18">
        <f t="shared" si="22"/>
        <v>0</v>
      </c>
      <c r="BI19" s="18">
        <f t="shared" si="22"/>
        <v>0</v>
      </c>
      <c r="BJ19" s="18">
        <f t="shared" ref="BJ19" si="23">SUM(BJ20:BJ32)</f>
        <v>0</v>
      </c>
      <c r="BK19" s="18">
        <f t="shared" si="22"/>
        <v>0</v>
      </c>
      <c r="BL19" s="18">
        <f t="shared" si="22"/>
        <v>0</v>
      </c>
      <c r="BM19" s="18">
        <f t="shared" si="22"/>
        <v>0</v>
      </c>
      <c r="BN19" s="18">
        <f t="shared" si="22"/>
        <v>276126</v>
      </c>
      <c r="BO19" s="18">
        <f t="shared" si="22"/>
        <v>0</v>
      </c>
      <c r="BP19" s="18">
        <f t="shared" si="22"/>
        <v>0</v>
      </c>
      <c r="BQ19" s="18">
        <f t="shared" si="22"/>
        <v>10670</v>
      </c>
      <c r="BR19" s="18">
        <f t="shared" si="22"/>
        <v>0</v>
      </c>
      <c r="BS19" s="18">
        <f t="shared" si="22"/>
        <v>0</v>
      </c>
      <c r="BT19" s="18">
        <f t="shared" si="22"/>
        <v>0</v>
      </c>
      <c r="BU19" s="18">
        <f t="shared" si="22"/>
        <v>0</v>
      </c>
      <c r="BV19" s="18">
        <f t="shared" si="22"/>
        <v>0</v>
      </c>
      <c r="BW19" s="18">
        <f t="shared" si="22"/>
        <v>0</v>
      </c>
      <c r="BX19" s="18">
        <f t="shared" si="22"/>
        <v>265456</v>
      </c>
      <c r="BY19" s="18">
        <f t="shared" si="22"/>
        <v>0</v>
      </c>
      <c r="BZ19" s="18">
        <f t="shared" si="22"/>
        <v>1019274</v>
      </c>
      <c r="CA19" s="18">
        <f t="shared" si="22"/>
        <v>1019274</v>
      </c>
      <c r="CB19" s="18">
        <f t="shared" si="22"/>
        <v>1019274</v>
      </c>
      <c r="CC19" s="18">
        <f t="shared" si="22"/>
        <v>0</v>
      </c>
      <c r="CD19" s="18">
        <f t="shared" si="22"/>
        <v>1019274</v>
      </c>
      <c r="CE19" s="18">
        <f t="shared" si="22"/>
        <v>0</v>
      </c>
      <c r="CF19" s="18">
        <f t="shared" si="22"/>
        <v>0</v>
      </c>
      <c r="CG19" s="18">
        <f t="shared" si="22"/>
        <v>0</v>
      </c>
      <c r="CH19" s="18">
        <f t="shared" si="22"/>
        <v>0</v>
      </c>
      <c r="CI19" s="18">
        <f t="shared" si="22"/>
        <v>0</v>
      </c>
      <c r="CJ19" s="18">
        <f t="shared" ref="CJ19" si="24">SUM(CJ20:CJ32)</f>
        <v>0</v>
      </c>
      <c r="CK19" s="18">
        <f t="shared" si="22"/>
        <v>0</v>
      </c>
      <c r="CL19" s="18">
        <f t="shared" si="22"/>
        <v>0</v>
      </c>
      <c r="CM19" s="18">
        <f t="shared" si="22"/>
        <v>0</v>
      </c>
      <c r="CN19" s="18"/>
      <c r="CO19" s="18">
        <f t="shared" ref="CO19:CV19" si="25">SUM(CO20:CO32)</f>
        <v>0</v>
      </c>
      <c r="CP19" s="74"/>
      <c r="CQ19" s="74"/>
      <c r="CR19" s="74"/>
      <c r="CS19" s="18">
        <f t="shared" si="25"/>
        <v>0</v>
      </c>
      <c r="CT19" s="18">
        <f t="shared" si="25"/>
        <v>0</v>
      </c>
      <c r="CU19" s="18">
        <f t="shared" si="25"/>
        <v>0</v>
      </c>
      <c r="CV19" s="46">
        <f t="shared" si="25"/>
        <v>0</v>
      </c>
      <c r="CW19" s="57"/>
    </row>
    <row r="20" spans="1:101" ht="31.2" x14ac:dyDescent="0.3">
      <c r="A20" s="105" t="s">
        <v>1</v>
      </c>
      <c r="B20" s="21" t="s">
        <v>54</v>
      </c>
      <c r="C20" s="22" t="s">
        <v>55</v>
      </c>
      <c r="D20" s="19">
        <f t="shared" ref="D20:D32" si="26">SUM(E20+BZ20+CS20)</f>
        <v>25522572</v>
      </c>
      <c r="E20" s="19">
        <f t="shared" ref="E20:E32" si="27">SUM(F20+BA20)</f>
        <v>25342574</v>
      </c>
      <c r="F20" s="19">
        <f t="shared" ref="F20:F32" si="28">SUM(G20+H20+I20+P20+S20+T20+U20+AE20+AD20)</f>
        <v>25342574</v>
      </c>
      <c r="G20" s="23">
        <v>18177072</v>
      </c>
      <c r="H20" s="23">
        <v>4342966</v>
      </c>
      <c r="I20" s="19">
        <f t="shared" si="7"/>
        <v>1177111</v>
      </c>
      <c r="J20" s="23">
        <v>0</v>
      </c>
      <c r="K20" s="23">
        <v>0</v>
      </c>
      <c r="L20" s="23">
        <v>0</v>
      </c>
      <c r="M20" s="23">
        <v>0</v>
      </c>
      <c r="N20" s="23">
        <v>948773</v>
      </c>
      <c r="O20" s="23">
        <v>228338</v>
      </c>
      <c r="P20" s="19">
        <f t="shared" si="8"/>
        <v>0</v>
      </c>
      <c r="Q20" s="23">
        <v>0</v>
      </c>
      <c r="R20" s="23">
        <v>0</v>
      </c>
      <c r="S20" s="23">
        <v>0</v>
      </c>
      <c r="T20" s="23">
        <v>227772</v>
      </c>
      <c r="U20" s="19">
        <f t="shared" ref="U20:U32" si="29">SUM(V20:AC20)</f>
        <v>344742</v>
      </c>
      <c r="V20" s="23">
        <v>43194</v>
      </c>
      <c r="W20" s="23">
        <v>83327</v>
      </c>
      <c r="X20" s="23">
        <v>124298</v>
      </c>
      <c r="Y20" s="23">
        <v>26720</v>
      </c>
      <c r="Z20" s="23">
        <v>15602</v>
      </c>
      <c r="AA20" s="23">
        <v>44052</v>
      </c>
      <c r="AB20" s="23">
        <v>0</v>
      </c>
      <c r="AC20" s="23">
        <v>7549</v>
      </c>
      <c r="AD20" s="19">
        <v>0</v>
      </c>
      <c r="AE20" s="19">
        <f t="shared" ref="AE20:AE32" si="30">SUM(AF20:AZ20)</f>
        <v>1072911</v>
      </c>
      <c r="AF20" s="19"/>
      <c r="AG20" s="24">
        <v>0</v>
      </c>
      <c r="AH20" s="23">
        <v>43065</v>
      </c>
      <c r="AI20" s="23">
        <v>36076</v>
      </c>
      <c r="AJ20" s="23">
        <v>0</v>
      </c>
      <c r="AK20" s="23">
        <v>2120</v>
      </c>
      <c r="AL20" s="23">
        <v>0</v>
      </c>
      <c r="AM20" s="23">
        <v>150215</v>
      </c>
      <c r="AN20" s="23">
        <v>69764</v>
      </c>
      <c r="AO20" s="23">
        <v>45674</v>
      </c>
      <c r="AP20" s="23">
        <v>0</v>
      </c>
      <c r="AQ20" s="23">
        <v>0</v>
      </c>
      <c r="AR20" s="23">
        <v>372364</v>
      </c>
      <c r="AS20" s="23">
        <v>7186</v>
      </c>
      <c r="AT20" s="23">
        <v>0</v>
      </c>
      <c r="AU20" s="23">
        <v>0</v>
      </c>
      <c r="AV20" s="23">
        <v>0</v>
      </c>
      <c r="AW20" s="23">
        <v>0</v>
      </c>
      <c r="AX20" s="23">
        <v>338180</v>
      </c>
      <c r="AY20" s="23">
        <v>0</v>
      </c>
      <c r="AZ20" s="23">
        <v>8267</v>
      </c>
      <c r="BA20" s="19">
        <f t="shared" ref="BA20:BA32" si="31">SUM(BB20+BF20+BI20+BK20+BN20)</f>
        <v>0</v>
      </c>
      <c r="BB20" s="19">
        <f t="shared" ref="BB20:BB32" si="32">SUM(BC20:BE20)</f>
        <v>0</v>
      </c>
      <c r="BC20" s="19">
        <v>0</v>
      </c>
      <c r="BD20" s="19">
        <v>0</v>
      </c>
      <c r="BE20" s="19">
        <v>0</v>
      </c>
      <c r="BF20" s="19">
        <f t="shared" ref="BF20:BF32" si="33">SUM(BH20:BH20)</f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f t="shared" si="9"/>
        <v>0</v>
      </c>
      <c r="BL20" s="19">
        <v>0</v>
      </c>
      <c r="BM20" s="19">
        <v>0</v>
      </c>
      <c r="BN20" s="19">
        <f t="shared" ref="BN20:BN32" si="34">SUM(BO20:BY20)</f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23">
        <v>0</v>
      </c>
      <c r="BY20" s="23">
        <v>0</v>
      </c>
      <c r="BZ20" s="19">
        <f t="shared" ref="BZ20:BZ32" si="35">SUM(CA20+CO20)</f>
        <v>179998</v>
      </c>
      <c r="CA20" s="19">
        <f t="shared" ref="CA20:CA32" si="36">SUM(CB20+CE20+CK20)</f>
        <v>179998</v>
      </c>
      <c r="CB20" s="19">
        <f t="shared" si="10"/>
        <v>179998</v>
      </c>
      <c r="CC20" s="19">
        <v>0</v>
      </c>
      <c r="CD20" s="23">
        <v>179998</v>
      </c>
      <c r="CE20" s="19">
        <f t="shared" ref="CE20:CE32" si="37">SUM(CF20:CJ20)</f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f t="shared" ref="CK20:CK32" si="38">SUM(CL20:CN20)</f>
        <v>0</v>
      </c>
      <c r="CL20" s="19">
        <v>0</v>
      </c>
      <c r="CM20" s="19"/>
      <c r="CN20" s="19"/>
      <c r="CO20" s="19">
        <v>0</v>
      </c>
      <c r="CP20" s="75"/>
      <c r="CQ20" s="75"/>
      <c r="CR20" s="75"/>
      <c r="CS20" s="19">
        <f t="shared" si="11"/>
        <v>0</v>
      </c>
      <c r="CT20" s="19">
        <f t="shared" si="12"/>
        <v>0</v>
      </c>
      <c r="CU20" s="19">
        <v>0</v>
      </c>
      <c r="CV20" s="20">
        <v>0</v>
      </c>
      <c r="CW20" s="52"/>
    </row>
    <row r="21" spans="1:101" ht="31.2" x14ac:dyDescent="0.3">
      <c r="A21" s="105" t="s">
        <v>1</v>
      </c>
      <c r="B21" s="21" t="s">
        <v>56</v>
      </c>
      <c r="C21" s="22" t="s">
        <v>57</v>
      </c>
      <c r="D21" s="19">
        <f t="shared" si="26"/>
        <v>5873091</v>
      </c>
      <c r="E21" s="19">
        <f t="shared" si="27"/>
        <v>5873091</v>
      </c>
      <c r="F21" s="19">
        <f t="shared" si="28"/>
        <v>5873091</v>
      </c>
      <c r="G21" s="23">
        <v>4306536</v>
      </c>
      <c r="H21" s="23">
        <v>1077065</v>
      </c>
      <c r="I21" s="19">
        <f t="shared" si="7"/>
        <v>138828</v>
      </c>
      <c r="J21" s="23"/>
      <c r="K21" s="23">
        <v>0</v>
      </c>
      <c r="L21" s="23">
        <v>0</v>
      </c>
      <c r="M21" s="23">
        <v>0</v>
      </c>
      <c r="N21" s="23">
        <v>100000</v>
      </c>
      <c r="O21" s="23">
        <f>68828-30000</f>
        <v>38828</v>
      </c>
      <c r="P21" s="19">
        <f t="shared" si="8"/>
        <v>0</v>
      </c>
      <c r="Q21" s="23">
        <v>0</v>
      </c>
      <c r="R21" s="23">
        <v>0</v>
      </c>
      <c r="S21" s="23">
        <v>0</v>
      </c>
      <c r="T21" s="23">
        <f>164212-40000</f>
        <v>124212</v>
      </c>
      <c r="U21" s="19">
        <f t="shared" si="29"/>
        <v>79285</v>
      </c>
      <c r="V21" s="23">
        <f>2900-2900</f>
        <v>0</v>
      </c>
      <c r="W21" s="23">
        <f>67450-36464</f>
        <v>30986</v>
      </c>
      <c r="X21" s="23">
        <f>50011-22890</f>
        <v>27121</v>
      </c>
      <c r="Y21" s="23">
        <f>8395-3512</f>
        <v>4883</v>
      </c>
      <c r="Z21" s="23">
        <f>1553-1553</f>
        <v>0</v>
      </c>
      <c r="AA21" s="23">
        <v>0</v>
      </c>
      <c r="AB21" s="23">
        <v>0</v>
      </c>
      <c r="AC21" s="23">
        <v>16295</v>
      </c>
      <c r="AD21" s="19">
        <v>0</v>
      </c>
      <c r="AE21" s="19">
        <f t="shared" si="30"/>
        <v>147165</v>
      </c>
      <c r="AF21" s="19"/>
      <c r="AG21" s="24">
        <v>0</v>
      </c>
      <c r="AH21" s="23">
        <f>155000-150000</f>
        <v>5000</v>
      </c>
      <c r="AI21" s="23">
        <v>20000</v>
      </c>
      <c r="AJ21" s="23">
        <v>0</v>
      </c>
      <c r="AK21" s="23">
        <v>900</v>
      </c>
      <c r="AL21" s="23">
        <v>0</v>
      </c>
      <c r="AM21" s="23">
        <v>0</v>
      </c>
      <c r="AN21" s="23">
        <v>5000</v>
      </c>
      <c r="AO21" s="23">
        <v>13130</v>
      </c>
      <c r="AP21" s="23">
        <v>0</v>
      </c>
      <c r="AQ21" s="23">
        <v>0</v>
      </c>
      <c r="AR21" s="23">
        <f>579341-526476</f>
        <v>52865</v>
      </c>
      <c r="AS21" s="23">
        <v>20370</v>
      </c>
      <c r="AT21" s="23">
        <v>0</v>
      </c>
      <c r="AU21" s="23">
        <v>0</v>
      </c>
      <c r="AV21" s="23">
        <v>0</v>
      </c>
      <c r="AW21" s="23">
        <v>0</v>
      </c>
      <c r="AX21" s="23">
        <v>28900</v>
      </c>
      <c r="AY21" s="23">
        <v>0</v>
      </c>
      <c r="AZ21" s="23">
        <f>6000-5000</f>
        <v>1000</v>
      </c>
      <c r="BA21" s="19">
        <f t="shared" si="31"/>
        <v>0</v>
      </c>
      <c r="BB21" s="19">
        <f t="shared" si="32"/>
        <v>0</v>
      </c>
      <c r="BC21" s="19">
        <v>0</v>
      </c>
      <c r="BD21" s="19">
        <v>0</v>
      </c>
      <c r="BE21" s="19">
        <v>0</v>
      </c>
      <c r="BF21" s="19">
        <f t="shared" si="33"/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9"/>
        <v>0</v>
      </c>
      <c r="BL21" s="19">
        <v>0</v>
      </c>
      <c r="BM21" s="19">
        <v>0</v>
      </c>
      <c r="BN21" s="19">
        <f t="shared" si="34"/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0</v>
      </c>
      <c r="BY21" s="23">
        <v>0</v>
      </c>
      <c r="BZ21" s="19">
        <f t="shared" si="35"/>
        <v>0</v>
      </c>
      <c r="CA21" s="19">
        <f t="shared" si="36"/>
        <v>0</v>
      </c>
      <c r="CB21" s="19">
        <f t="shared" si="10"/>
        <v>0</v>
      </c>
      <c r="CC21" s="19">
        <v>0</v>
      </c>
      <c r="CD21" s="23">
        <v>0</v>
      </c>
      <c r="CE21" s="19">
        <f t="shared" si="37"/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f t="shared" si="38"/>
        <v>0</v>
      </c>
      <c r="CL21" s="19">
        <v>0</v>
      </c>
      <c r="CM21" s="19">
        <v>0</v>
      </c>
      <c r="CN21" s="19"/>
      <c r="CO21" s="19">
        <v>0</v>
      </c>
      <c r="CP21" s="75"/>
      <c r="CQ21" s="75"/>
      <c r="CR21" s="75"/>
      <c r="CS21" s="19">
        <f t="shared" si="11"/>
        <v>0</v>
      </c>
      <c r="CT21" s="19">
        <f t="shared" si="12"/>
        <v>0</v>
      </c>
      <c r="CU21" s="19">
        <v>0</v>
      </c>
      <c r="CV21" s="20">
        <v>0</v>
      </c>
      <c r="CW21" s="52"/>
    </row>
    <row r="22" spans="1:101" ht="31.2" x14ac:dyDescent="0.3">
      <c r="A22" s="105" t="s">
        <v>1</v>
      </c>
      <c r="B22" s="21" t="s">
        <v>58</v>
      </c>
      <c r="C22" s="22" t="s">
        <v>59</v>
      </c>
      <c r="D22" s="19">
        <f t="shared" si="26"/>
        <v>9428950</v>
      </c>
      <c r="E22" s="19">
        <f t="shared" si="27"/>
        <v>9283956</v>
      </c>
      <c r="F22" s="19">
        <f t="shared" si="28"/>
        <v>9273286</v>
      </c>
      <c r="G22" s="23">
        <v>5932896</v>
      </c>
      <c r="H22" s="23">
        <v>1410411</v>
      </c>
      <c r="I22" s="19">
        <f t="shared" si="7"/>
        <v>235736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235736</v>
      </c>
      <c r="P22" s="19">
        <f t="shared" si="8"/>
        <v>200000</v>
      </c>
      <c r="Q22" s="23">
        <v>0</v>
      </c>
      <c r="R22" s="23">
        <v>200000</v>
      </c>
      <c r="S22" s="23">
        <v>0</v>
      </c>
      <c r="T22" s="23">
        <v>60000</v>
      </c>
      <c r="U22" s="19">
        <f t="shared" si="29"/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19">
        <v>19182</v>
      </c>
      <c r="AE22" s="19">
        <f t="shared" si="30"/>
        <v>1415061</v>
      </c>
      <c r="AF22" s="19"/>
      <c r="AG22" s="24">
        <v>0</v>
      </c>
      <c r="AH22" s="23">
        <v>4147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10754</v>
      </c>
      <c r="AP22" s="23">
        <v>0</v>
      </c>
      <c r="AQ22" s="23">
        <v>0</v>
      </c>
      <c r="AR22" s="23">
        <v>0</v>
      </c>
      <c r="AS22" s="23">
        <v>24000</v>
      </c>
      <c r="AT22" s="23">
        <v>0</v>
      </c>
      <c r="AU22" s="23">
        <v>0</v>
      </c>
      <c r="AV22" s="23">
        <v>0</v>
      </c>
      <c r="AW22" s="23">
        <v>0</v>
      </c>
      <c r="AX22" s="23">
        <v>1376160</v>
      </c>
      <c r="AY22" s="23">
        <v>0</v>
      </c>
      <c r="AZ22" s="23">
        <v>0</v>
      </c>
      <c r="BA22" s="19">
        <f t="shared" si="31"/>
        <v>10670</v>
      </c>
      <c r="BB22" s="19">
        <f t="shared" si="32"/>
        <v>0</v>
      </c>
      <c r="BC22" s="19">
        <v>0</v>
      </c>
      <c r="BD22" s="19">
        <v>0</v>
      </c>
      <c r="BE22" s="19">
        <v>0</v>
      </c>
      <c r="BF22" s="19">
        <f t="shared" si="33"/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9"/>
        <v>0</v>
      </c>
      <c r="BL22" s="19">
        <v>0</v>
      </c>
      <c r="BM22" s="19">
        <v>0</v>
      </c>
      <c r="BN22" s="19">
        <f t="shared" si="34"/>
        <v>10670</v>
      </c>
      <c r="BO22" s="19">
        <v>0</v>
      </c>
      <c r="BP22" s="19">
        <v>0</v>
      </c>
      <c r="BQ22" s="19">
        <v>10670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0</v>
      </c>
      <c r="BY22" s="23">
        <v>0</v>
      </c>
      <c r="BZ22" s="19">
        <f t="shared" si="35"/>
        <v>144994</v>
      </c>
      <c r="CA22" s="19">
        <f t="shared" si="36"/>
        <v>144994</v>
      </c>
      <c r="CB22" s="19">
        <f t="shared" si="10"/>
        <v>144994</v>
      </c>
      <c r="CC22" s="19">
        <v>0</v>
      </c>
      <c r="CD22" s="23">
        <v>144994</v>
      </c>
      <c r="CE22" s="19">
        <f t="shared" si="37"/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f t="shared" si="38"/>
        <v>0</v>
      </c>
      <c r="CL22" s="19">
        <v>0</v>
      </c>
      <c r="CM22" s="19">
        <v>0</v>
      </c>
      <c r="CN22" s="19"/>
      <c r="CO22" s="19">
        <v>0</v>
      </c>
      <c r="CP22" s="75"/>
      <c r="CQ22" s="75"/>
      <c r="CR22" s="75"/>
      <c r="CS22" s="19">
        <f t="shared" si="11"/>
        <v>0</v>
      </c>
      <c r="CT22" s="19">
        <f t="shared" si="12"/>
        <v>0</v>
      </c>
      <c r="CU22" s="19">
        <v>0</v>
      </c>
      <c r="CV22" s="20">
        <v>0</v>
      </c>
      <c r="CW22" s="52"/>
    </row>
    <row r="23" spans="1:101" ht="15.6" x14ac:dyDescent="0.3">
      <c r="A23" s="105" t="s">
        <v>1</v>
      </c>
      <c r="B23" s="21" t="s">
        <v>60</v>
      </c>
      <c r="C23" s="22" t="s">
        <v>61</v>
      </c>
      <c r="D23" s="19">
        <f t="shared" si="26"/>
        <v>7828031</v>
      </c>
      <c r="E23" s="19">
        <f t="shared" si="27"/>
        <v>7828031</v>
      </c>
      <c r="F23" s="19">
        <f t="shared" si="28"/>
        <v>7821130</v>
      </c>
      <c r="G23" s="23">
        <v>4722335</v>
      </c>
      <c r="H23" s="23">
        <v>1125417</v>
      </c>
      <c r="I23" s="19">
        <f t="shared" si="7"/>
        <v>243866</v>
      </c>
      <c r="J23" s="23">
        <v>0</v>
      </c>
      <c r="K23" s="23">
        <v>0</v>
      </c>
      <c r="L23" s="23">
        <v>0</v>
      </c>
      <c r="M23" s="23">
        <v>0</v>
      </c>
      <c r="N23" s="23">
        <v>200000</v>
      </c>
      <c r="O23" s="23">
        <v>43866</v>
      </c>
      <c r="P23" s="19">
        <f t="shared" si="8"/>
        <v>19000</v>
      </c>
      <c r="Q23" s="23">
        <v>0</v>
      </c>
      <c r="R23" s="23">
        <v>19000</v>
      </c>
      <c r="S23" s="23">
        <v>0</v>
      </c>
      <c r="T23" s="23">
        <v>1375787</v>
      </c>
      <c r="U23" s="19">
        <f t="shared" si="29"/>
        <v>156629</v>
      </c>
      <c r="V23" s="23">
        <v>5000</v>
      </c>
      <c r="W23" s="23">
        <v>106002</v>
      </c>
      <c r="X23" s="23">
        <v>34807</v>
      </c>
      <c r="Y23" s="23">
        <v>6820</v>
      </c>
      <c r="Z23" s="23">
        <v>4000</v>
      </c>
      <c r="AA23" s="23">
        <v>0</v>
      </c>
      <c r="AB23" s="23">
        <v>0</v>
      </c>
      <c r="AC23" s="23">
        <v>0</v>
      </c>
      <c r="AD23" s="19">
        <v>0</v>
      </c>
      <c r="AE23" s="19">
        <f t="shared" si="30"/>
        <v>178096</v>
      </c>
      <c r="AF23" s="19"/>
      <c r="AG23" s="24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13386</v>
      </c>
      <c r="AP23" s="23">
        <v>0</v>
      </c>
      <c r="AQ23" s="23">
        <v>0</v>
      </c>
      <c r="AR23" s="23">
        <v>99790</v>
      </c>
      <c r="AS23" s="23">
        <v>64920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19">
        <f t="shared" si="31"/>
        <v>6901</v>
      </c>
      <c r="BB23" s="19">
        <f t="shared" si="32"/>
        <v>0</v>
      </c>
      <c r="BC23" s="19">
        <v>0</v>
      </c>
      <c r="BD23" s="19">
        <v>0</v>
      </c>
      <c r="BE23" s="19">
        <v>0</v>
      </c>
      <c r="BF23" s="19">
        <f t="shared" si="33"/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f t="shared" si="9"/>
        <v>0</v>
      </c>
      <c r="BL23" s="19">
        <v>0</v>
      </c>
      <c r="BM23" s="19">
        <v>0</v>
      </c>
      <c r="BN23" s="19">
        <f t="shared" si="34"/>
        <v>6901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23">
        <v>6901</v>
      </c>
      <c r="BY23" s="23">
        <v>0</v>
      </c>
      <c r="BZ23" s="19">
        <f t="shared" si="35"/>
        <v>0</v>
      </c>
      <c r="CA23" s="19">
        <f t="shared" si="36"/>
        <v>0</v>
      </c>
      <c r="CB23" s="19">
        <f t="shared" si="10"/>
        <v>0</v>
      </c>
      <c r="CC23" s="19">
        <v>0</v>
      </c>
      <c r="CD23" s="23">
        <v>0</v>
      </c>
      <c r="CE23" s="19">
        <f t="shared" si="37"/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f t="shared" si="38"/>
        <v>0</v>
      </c>
      <c r="CL23" s="19">
        <v>0</v>
      </c>
      <c r="CM23" s="19">
        <v>0</v>
      </c>
      <c r="CN23" s="19"/>
      <c r="CO23" s="19">
        <v>0</v>
      </c>
      <c r="CP23" s="75"/>
      <c r="CQ23" s="75"/>
      <c r="CR23" s="75"/>
      <c r="CS23" s="19">
        <f t="shared" si="11"/>
        <v>0</v>
      </c>
      <c r="CT23" s="19">
        <f t="shared" si="12"/>
        <v>0</v>
      </c>
      <c r="CU23" s="19">
        <v>0</v>
      </c>
      <c r="CV23" s="20">
        <v>0</v>
      </c>
      <c r="CW23" s="52"/>
    </row>
    <row r="24" spans="1:101" ht="15.6" x14ac:dyDescent="0.3">
      <c r="A24" s="105" t="s">
        <v>1</v>
      </c>
      <c r="B24" s="21" t="s">
        <v>62</v>
      </c>
      <c r="C24" s="22" t="s">
        <v>63</v>
      </c>
      <c r="D24" s="19">
        <f t="shared" si="26"/>
        <v>8220343</v>
      </c>
      <c r="E24" s="19">
        <f t="shared" si="27"/>
        <v>8044692</v>
      </c>
      <c r="F24" s="19">
        <f t="shared" si="28"/>
        <v>8037407</v>
      </c>
      <c r="G24" s="23">
        <v>5928844</v>
      </c>
      <c r="H24" s="23">
        <v>1428736</v>
      </c>
      <c r="I24" s="19">
        <f t="shared" si="7"/>
        <v>377014</v>
      </c>
      <c r="J24" s="23">
        <v>0</v>
      </c>
      <c r="K24" s="23">
        <v>22585</v>
      </c>
      <c r="L24" s="23"/>
      <c r="M24" s="23"/>
      <c r="N24" s="23">
        <v>206650</v>
      </c>
      <c r="O24" s="23">
        <v>147779</v>
      </c>
      <c r="P24" s="19">
        <f t="shared" si="8"/>
        <v>0</v>
      </c>
      <c r="Q24" s="23">
        <v>0</v>
      </c>
      <c r="R24" s="23">
        <v>0</v>
      </c>
      <c r="S24" s="23">
        <v>0</v>
      </c>
      <c r="T24" s="23">
        <v>83482</v>
      </c>
      <c r="U24" s="19">
        <f t="shared" si="29"/>
        <v>115237</v>
      </c>
      <c r="V24" s="23">
        <v>20094</v>
      </c>
      <c r="W24" s="23">
        <v>30803</v>
      </c>
      <c r="X24" s="23">
        <v>44882</v>
      </c>
      <c r="Y24" s="23">
        <v>10773</v>
      </c>
      <c r="Z24" s="23">
        <v>2578</v>
      </c>
      <c r="AA24" s="23">
        <v>0</v>
      </c>
      <c r="AB24" s="23">
        <v>0</v>
      </c>
      <c r="AC24" s="23">
        <v>6107</v>
      </c>
      <c r="AD24" s="19">
        <v>0</v>
      </c>
      <c r="AE24" s="19">
        <f t="shared" si="30"/>
        <v>104094</v>
      </c>
      <c r="AF24" s="19"/>
      <c r="AG24" s="24">
        <v>0</v>
      </c>
      <c r="AH24" s="23">
        <v>15460</v>
      </c>
      <c r="AI24" s="23">
        <v>15000</v>
      </c>
      <c r="AJ24" s="23">
        <v>0</v>
      </c>
      <c r="AK24" s="23">
        <v>11078</v>
      </c>
      <c r="AL24" s="23">
        <v>0</v>
      </c>
      <c r="AM24" s="23">
        <v>0</v>
      </c>
      <c r="AN24" s="23">
        <v>0</v>
      </c>
      <c r="AO24" s="23">
        <v>25026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26352</v>
      </c>
      <c r="AY24" s="23">
        <v>0</v>
      </c>
      <c r="AZ24" s="23">
        <v>11178</v>
      </c>
      <c r="BA24" s="19">
        <f t="shared" si="31"/>
        <v>7285</v>
      </c>
      <c r="BB24" s="19">
        <f t="shared" si="32"/>
        <v>0</v>
      </c>
      <c r="BC24" s="19">
        <v>0</v>
      </c>
      <c r="BD24" s="19">
        <v>0</v>
      </c>
      <c r="BE24" s="19">
        <v>0</v>
      </c>
      <c r="BF24" s="19">
        <f t="shared" si="33"/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f t="shared" si="9"/>
        <v>0</v>
      </c>
      <c r="BL24" s="19">
        <v>0</v>
      </c>
      <c r="BM24" s="19">
        <v>0</v>
      </c>
      <c r="BN24" s="19">
        <f t="shared" si="34"/>
        <v>7285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23">
        <v>7285</v>
      </c>
      <c r="BY24" s="23">
        <v>0</v>
      </c>
      <c r="BZ24" s="19">
        <f t="shared" si="35"/>
        <v>175651</v>
      </c>
      <c r="CA24" s="19">
        <f t="shared" si="36"/>
        <v>175651</v>
      </c>
      <c r="CB24" s="19">
        <f t="shared" si="10"/>
        <v>175651</v>
      </c>
      <c r="CC24" s="19">
        <v>0</v>
      </c>
      <c r="CD24" s="23">
        <v>175651</v>
      </c>
      <c r="CE24" s="19">
        <f t="shared" si="37"/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f t="shared" si="38"/>
        <v>0</v>
      </c>
      <c r="CL24" s="19">
        <v>0</v>
      </c>
      <c r="CM24" s="19"/>
      <c r="CN24" s="19"/>
      <c r="CO24" s="19">
        <v>0</v>
      </c>
      <c r="CP24" s="75"/>
      <c r="CQ24" s="75"/>
      <c r="CR24" s="75"/>
      <c r="CS24" s="19">
        <f t="shared" si="11"/>
        <v>0</v>
      </c>
      <c r="CT24" s="19">
        <f t="shared" si="12"/>
        <v>0</v>
      </c>
      <c r="CU24" s="19">
        <v>0</v>
      </c>
      <c r="CV24" s="20">
        <v>0</v>
      </c>
      <c r="CW24" s="52"/>
    </row>
    <row r="25" spans="1:101" ht="31.2" x14ac:dyDescent="0.3">
      <c r="A25" s="105" t="s">
        <v>1</v>
      </c>
      <c r="B25" s="21" t="s">
        <v>64</v>
      </c>
      <c r="C25" s="22" t="s">
        <v>65</v>
      </c>
      <c r="D25" s="19">
        <f t="shared" si="26"/>
        <v>7488070</v>
      </c>
      <c r="E25" s="19">
        <f t="shared" si="27"/>
        <v>7462825</v>
      </c>
      <c r="F25" s="19">
        <f t="shared" si="28"/>
        <v>7220757</v>
      </c>
      <c r="G25" s="23">
        <v>4386202</v>
      </c>
      <c r="H25" s="23">
        <v>1067538</v>
      </c>
      <c r="I25" s="19">
        <f t="shared" si="7"/>
        <v>360294</v>
      </c>
      <c r="J25" s="23">
        <v>0</v>
      </c>
      <c r="K25" s="23">
        <v>7442</v>
      </c>
      <c r="L25" s="23"/>
      <c r="M25" s="23"/>
      <c r="N25" s="23">
        <v>263918</v>
      </c>
      <c r="O25" s="23">
        <v>88934</v>
      </c>
      <c r="P25" s="19">
        <f t="shared" si="8"/>
        <v>559648</v>
      </c>
      <c r="Q25" s="23">
        <v>0</v>
      </c>
      <c r="R25" s="23">
        <v>559648</v>
      </c>
      <c r="S25" s="23">
        <v>0</v>
      </c>
      <c r="T25" s="23">
        <v>52306</v>
      </c>
      <c r="U25" s="19">
        <f t="shared" si="29"/>
        <v>81019</v>
      </c>
      <c r="V25" s="23">
        <v>15418</v>
      </c>
      <c r="W25" s="23">
        <v>0</v>
      </c>
      <c r="X25" s="23">
        <v>41728</v>
      </c>
      <c r="Y25" s="23">
        <v>9191</v>
      </c>
      <c r="Z25" s="23">
        <v>5514</v>
      </c>
      <c r="AA25" s="23">
        <v>0</v>
      </c>
      <c r="AB25" s="23">
        <v>0</v>
      </c>
      <c r="AC25" s="23">
        <v>9168</v>
      </c>
      <c r="AD25" s="19">
        <v>0</v>
      </c>
      <c r="AE25" s="19">
        <f t="shared" si="30"/>
        <v>713750</v>
      </c>
      <c r="AF25" s="19"/>
      <c r="AG25" s="24">
        <v>0</v>
      </c>
      <c r="AH25" s="23">
        <v>8075</v>
      </c>
      <c r="AI25" s="23">
        <v>31615</v>
      </c>
      <c r="AJ25" s="23">
        <v>0</v>
      </c>
      <c r="AK25" s="23">
        <v>0</v>
      </c>
      <c r="AL25" s="23">
        <v>2080</v>
      </c>
      <c r="AM25" s="23">
        <v>102751</v>
      </c>
      <c r="AN25" s="23">
        <v>48350</v>
      </c>
      <c r="AO25" s="23">
        <v>499415</v>
      </c>
      <c r="AP25" s="23">
        <v>0</v>
      </c>
      <c r="AQ25" s="23">
        <v>0</v>
      </c>
      <c r="AR25" s="23">
        <v>9768</v>
      </c>
      <c r="AS25" s="23">
        <v>4696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7000</v>
      </c>
      <c r="BA25" s="19">
        <f t="shared" si="31"/>
        <v>242068</v>
      </c>
      <c r="BB25" s="19">
        <f t="shared" si="32"/>
        <v>0</v>
      </c>
      <c r="BC25" s="19">
        <v>0</v>
      </c>
      <c r="BD25" s="19">
        <v>0</v>
      </c>
      <c r="BE25" s="19">
        <v>0</v>
      </c>
      <c r="BF25" s="19">
        <f t="shared" si="33"/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9"/>
        <v>0</v>
      </c>
      <c r="BL25" s="19">
        <v>0</v>
      </c>
      <c r="BM25" s="19">
        <v>0</v>
      </c>
      <c r="BN25" s="19">
        <f t="shared" si="34"/>
        <v>242068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242068</v>
      </c>
      <c r="BY25" s="23">
        <v>0</v>
      </c>
      <c r="BZ25" s="19">
        <f t="shared" si="35"/>
        <v>25245</v>
      </c>
      <c r="CA25" s="19">
        <f t="shared" si="36"/>
        <v>25245</v>
      </c>
      <c r="CB25" s="19">
        <f t="shared" si="10"/>
        <v>25245</v>
      </c>
      <c r="CC25" s="19">
        <v>0</v>
      </c>
      <c r="CD25" s="23">
        <v>25245</v>
      </c>
      <c r="CE25" s="19">
        <f t="shared" si="37"/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si="38"/>
        <v>0</v>
      </c>
      <c r="CL25" s="19">
        <v>0</v>
      </c>
      <c r="CM25" s="19">
        <v>0</v>
      </c>
      <c r="CN25" s="19"/>
      <c r="CO25" s="19">
        <v>0</v>
      </c>
      <c r="CP25" s="75"/>
      <c r="CQ25" s="75"/>
      <c r="CR25" s="75"/>
      <c r="CS25" s="19">
        <f t="shared" si="11"/>
        <v>0</v>
      </c>
      <c r="CT25" s="19">
        <f t="shared" si="12"/>
        <v>0</v>
      </c>
      <c r="CU25" s="19">
        <v>0</v>
      </c>
      <c r="CV25" s="20">
        <v>0</v>
      </c>
      <c r="CW25" s="52"/>
    </row>
    <row r="26" spans="1:101" ht="31.2" x14ac:dyDescent="0.3">
      <c r="A26" s="105" t="s">
        <v>1</v>
      </c>
      <c r="B26" s="21" t="s">
        <v>66</v>
      </c>
      <c r="C26" s="22" t="s">
        <v>67</v>
      </c>
      <c r="D26" s="19">
        <f t="shared" si="26"/>
        <v>10660522</v>
      </c>
      <c r="E26" s="19">
        <f t="shared" si="27"/>
        <v>10585022</v>
      </c>
      <c r="F26" s="19">
        <f t="shared" si="28"/>
        <v>10585022</v>
      </c>
      <c r="G26" s="23">
        <v>7436208</v>
      </c>
      <c r="H26" s="23">
        <v>1774477</v>
      </c>
      <c r="I26" s="19">
        <f t="shared" si="7"/>
        <v>801797</v>
      </c>
      <c r="J26" s="23">
        <v>0</v>
      </c>
      <c r="K26" s="23">
        <v>0</v>
      </c>
      <c r="L26" s="23"/>
      <c r="M26" s="23"/>
      <c r="N26" s="23">
        <v>406500</v>
      </c>
      <c r="O26" s="23">
        <v>395297</v>
      </c>
      <c r="P26" s="19">
        <f t="shared" si="8"/>
        <v>60000</v>
      </c>
      <c r="Q26" s="23">
        <v>0</v>
      </c>
      <c r="R26" s="23">
        <v>60000</v>
      </c>
      <c r="S26" s="23">
        <v>0</v>
      </c>
      <c r="T26" s="23">
        <v>88396</v>
      </c>
      <c r="U26" s="19">
        <f t="shared" si="29"/>
        <v>240939</v>
      </c>
      <c r="V26" s="23">
        <v>0</v>
      </c>
      <c r="W26" s="23">
        <v>163048</v>
      </c>
      <c r="X26" s="23">
        <v>49093</v>
      </c>
      <c r="Y26" s="23">
        <v>16995</v>
      </c>
      <c r="Z26" s="23">
        <v>8303</v>
      </c>
      <c r="AA26" s="23">
        <v>3500</v>
      </c>
      <c r="AB26" s="23">
        <v>0</v>
      </c>
      <c r="AC26" s="23">
        <v>0</v>
      </c>
      <c r="AD26" s="19">
        <v>0</v>
      </c>
      <c r="AE26" s="19">
        <f t="shared" si="30"/>
        <v>183205</v>
      </c>
      <c r="AF26" s="19"/>
      <c r="AG26" s="24">
        <v>0</v>
      </c>
      <c r="AH26" s="23">
        <v>21504</v>
      </c>
      <c r="AI26" s="23">
        <v>76179</v>
      </c>
      <c r="AJ26" s="23">
        <v>0</v>
      </c>
      <c r="AK26" s="23">
        <v>600</v>
      </c>
      <c r="AL26" s="23">
        <v>0</v>
      </c>
      <c r="AM26" s="23">
        <v>0</v>
      </c>
      <c r="AN26" s="23">
        <v>0</v>
      </c>
      <c r="AO26" s="23">
        <v>14550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70372</v>
      </c>
      <c r="BA26" s="19">
        <f t="shared" si="31"/>
        <v>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9"/>
        <v>0</v>
      </c>
      <c r="BL26" s="19">
        <v>0</v>
      </c>
      <c r="BM26" s="19">
        <v>0</v>
      </c>
      <c r="BN26" s="19">
        <f t="shared" si="34"/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/>
      <c r="BY26" s="23">
        <v>0</v>
      </c>
      <c r="BZ26" s="19">
        <f t="shared" si="35"/>
        <v>75500</v>
      </c>
      <c r="CA26" s="19">
        <f t="shared" si="36"/>
        <v>75500</v>
      </c>
      <c r="CB26" s="19">
        <f t="shared" si="10"/>
        <v>75500</v>
      </c>
      <c r="CC26" s="19">
        <v>0</v>
      </c>
      <c r="CD26" s="23">
        <v>75500</v>
      </c>
      <c r="CE26" s="19">
        <f t="shared" si="37"/>
        <v>0</v>
      </c>
      <c r="CF26" s="19">
        <v>0</v>
      </c>
      <c r="CG26" s="19">
        <v>0</v>
      </c>
      <c r="CH26" s="19"/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/>
      <c r="CO26" s="19">
        <v>0</v>
      </c>
      <c r="CP26" s="75"/>
      <c r="CQ26" s="75"/>
      <c r="CR26" s="75"/>
      <c r="CS26" s="19">
        <f t="shared" si="11"/>
        <v>0</v>
      </c>
      <c r="CT26" s="19">
        <f t="shared" si="12"/>
        <v>0</v>
      </c>
      <c r="CU26" s="19">
        <v>0</v>
      </c>
      <c r="CV26" s="20">
        <v>0</v>
      </c>
      <c r="CW26" s="52"/>
    </row>
    <row r="27" spans="1:101" ht="15.6" x14ac:dyDescent="0.3">
      <c r="A27" s="105" t="s">
        <v>1</v>
      </c>
      <c r="B27" s="21" t="s">
        <v>68</v>
      </c>
      <c r="C27" s="22" t="s">
        <v>69</v>
      </c>
      <c r="D27" s="19">
        <f t="shared" si="26"/>
        <v>1249303</v>
      </c>
      <c r="E27" s="19">
        <f t="shared" si="27"/>
        <v>1238703</v>
      </c>
      <c r="F27" s="19">
        <f t="shared" si="28"/>
        <v>1238703</v>
      </c>
      <c r="G27" s="23">
        <v>931630</v>
      </c>
      <c r="H27" s="23">
        <v>219585</v>
      </c>
      <c r="I27" s="19">
        <f t="shared" si="7"/>
        <v>40035</v>
      </c>
      <c r="J27" s="23">
        <v>0</v>
      </c>
      <c r="K27" s="23">
        <v>0</v>
      </c>
      <c r="L27" s="23"/>
      <c r="M27" s="23"/>
      <c r="N27" s="23">
        <v>18035</v>
      </c>
      <c r="O27" s="23">
        <v>22000</v>
      </c>
      <c r="P27" s="19">
        <f t="shared" si="8"/>
        <v>0</v>
      </c>
      <c r="Q27" s="23">
        <v>0</v>
      </c>
      <c r="R27" s="23">
        <v>0</v>
      </c>
      <c r="S27" s="23">
        <v>0</v>
      </c>
      <c r="T27" s="23">
        <v>16003</v>
      </c>
      <c r="U27" s="19">
        <f t="shared" si="29"/>
        <v>11715</v>
      </c>
      <c r="V27" s="23">
        <v>0</v>
      </c>
      <c r="W27" s="23">
        <v>4899</v>
      </c>
      <c r="X27" s="23">
        <f>4510+1250</f>
        <v>5760</v>
      </c>
      <c r="Y27" s="23">
        <v>1056</v>
      </c>
      <c r="Z27" s="23">
        <v>0</v>
      </c>
      <c r="AA27" s="23">
        <v>0</v>
      </c>
      <c r="AB27" s="23">
        <v>0</v>
      </c>
      <c r="AC27" s="23">
        <v>0</v>
      </c>
      <c r="AD27" s="19">
        <v>0</v>
      </c>
      <c r="AE27" s="19">
        <f t="shared" si="30"/>
        <v>19735</v>
      </c>
      <c r="AF27" s="19"/>
      <c r="AG27" s="24">
        <v>0</v>
      </c>
      <c r="AH27" s="23">
        <v>2600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5238</v>
      </c>
      <c r="AP27" s="23">
        <v>0</v>
      </c>
      <c r="AQ27" s="23">
        <v>0</v>
      </c>
      <c r="AR27" s="23">
        <v>0</v>
      </c>
      <c r="AS27" s="23">
        <v>11237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660</v>
      </c>
      <c r="BA27" s="19">
        <f t="shared" si="31"/>
        <v>0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9"/>
        <v>0</v>
      </c>
      <c r="BL27" s="19">
        <v>0</v>
      </c>
      <c r="BM27" s="19">
        <v>0</v>
      </c>
      <c r="BN27" s="19">
        <f t="shared" si="34"/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/>
      <c r="BY27" s="23">
        <v>0</v>
      </c>
      <c r="BZ27" s="19">
        <f t="shared" si="35"/>
        <v>10600</v>
      </c>
      <c r="CA27" s="19">
        <f t="shared" si="36"/>
        <v>10600</v>
      </c>
      <c r="CB27" s="19">
        <f t="shared" si="10"/>
        <v>10600</v>
      </c>
      <c r="CC27" s="19">
        <v>0</v>
      </c>
      <c r="CD27" s="23">
        <v>10600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/>
      <c r="CO27" s="19">
        <v>0</v>
      </c>
      <c r="CP27" s="75"/>
      <c r="CQ27" s="75"/>
      <c r="CR27" s="75"/>
      <c r="CS27" s="19">
        <f t="shared" si="11"/>
        <v>0</v>
      </c>
      <c r="CT27" s="19">
        <f t="shared" si="12"/>
        <v>0</v>
      </c>
      <c r="CU27" s="19">
        <v>0</v>
      </c>
      <c r="CV27" s="20">
        <v>0</v>
      </c>
      <c r="CW27" s="52"/>
    </row>
    <row r="28" spans="1:101" ht="31.2" x14ac:dyDescent="0.3">
      <c r="A28" s="105" t="s">
        <v>1</v>
      </c>
      <c r="B28" s="21" t="s">
        <v>70</v>
      </c>
      <c r="C28" s="22" t="s">
        <v>71</v>
      </c>
      <c r="D28" s="19">
        <f t="shared" si="26"/>
        <v>11821275</v>
      </c>
      <c r="E28" s="19">
        <f t="shared" si="27"/>
        <v>11821275</v>
      </c>
      <c r="F28" s="19">
        <f t="shared" si="28"/>
        <v>11821275</v>
      </c>
      <c r="G28" s="23">
        <f>11012931-1704985</f>
        <v>9307946</v>
      </c>
      <c r="H28" s="23">
        <f>2667693-426246</f>
        <v>2241447</v>
      </c>
      <c r="I28" s="19">
        <f t="shared" si="7"/>
        <v>24747</v>
      </c>
      <c r="J28" s="23">
        <v>0</v>
      </c>
      <c r="K28" s="23">
        <v>0</v>
      </c>
      <c r="L28" s="23"/>
      <c r="M28" s="23"/>
      <c r="N28" s="23">
        <v>18000</v>
      </c>
      <c r="O28" s="23">
        <v>6747</v>
      </c>
      <c r="P28" s="19">
        <f t="shared" si="8"/>
        <v>0</v>
      </c>
      <c r="Q28" s="23">
        <v>0</v>
      </c>
      <c r="R28" s="23">
        <v>0</v>
      </c>
      <c r="S28" s="23">
        <v>0</v>
      </c>
      <c r="T28" s="23">
        <v>24155</v>
      </c>
      <c r="U28" s="19">
        <f t="shared" si="29"/>
        <v>56358</v>
      </c>
      <c r="V28" s="23">
        <v>0</v>
      </c>
      <c r="W28" s="23">
        <v>53094</v>
      </c>
      <c r="X28" s="23">
        <v>610</v>
      </c>
      <c r="Y28" s="23">
        <v>63</v>
      </c>
      <c r="Z28" s="23">
        <v>2591</v>
      </c>
      <c r="AA28" s="23">
        <v>0</v>
      </c>
      <c r="AB28" s="23">
        <v>0</v>
      </c>
      <c r="AC28" s="23">
        <v>0</v>
      </c>
      <c r="AD28" s="19">
        <v>0</v>
      </c>
      <c r="AE28" s="19">
        <f t="shared" si="30"/>
        <v>166622</v>
      </c>
      <c r="AF28" s="19"/>
      <c r="AG28" s="24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5244</v>
      </c>
      <c r="AP28" s="23">
        <v>0</v>
      </c>
      <c r="AQ28" s="23">
        <v>0</v>
      </c>
      <c r="AR28" s="23">
        <v>0</v>
      </c>
      <c r="AS28" s="23">
        <v>10000</v>
      </c>
      <c r="AT28" s="23">
        <v>0</v>
      </c>
      <c r="AU28" s="23">
        <v>0</v>
      </c>
      <c r="AV28" s="23">
        <v>0</v>
      </c>
      <c r="AW28" s="23">
        <v>0</v>
      </c>
      <c r="AX28" s="23">
        <v>151378</v>
      </c>
      <c r="AY28" s="23">
        <v>0</v>
      </c>
      <c r="AZ28" s="23">
        <v>0</v>
      </c>
      <c r="BA28" s="19">
        <f t="shared" si="31"/>
        <v>0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9"/>
        <v>0</v>
      </c>
      <c r="BL28" s="19">
        <v>0</v>
      </c>
      <c r="BM28" s="19">
        <v>0</v>
      </c>
      <c r="BN28" s="19">
        <f t="shared" si="34"/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/>
      <c r="BY28" s="23">
        <v>0</v>
      </c>
      <c r="BZ28" s="19">
        <f t="shared" si="35"/>
        <v>0</v>
      </c>
      <c r="CA28" s="19">
        <f t="shared" si="36"/>
        <v>0</v>
      </c>
      <c r="CB28" s="19">
        <f t="shared" si="10"/>
        <v>0</v>
      </c>
      <c r="CC28" s="19">
        <v>0</v>
      </c>
      <c r="CD28" s="23">
        <v>0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0</v>
      </c>
      <c r="CL28" s="19">
        <v>0</v>
      </c>
      <c r="CM28" s="19">
        <v>0</v>
      </c>
      <c r="CN28" s="19"/>
      <c r="CO28" s="19">
        <v>0</v>
      </c>
      <c r="CP28" s="75"/>
      <c r="CQ28" s="75"/>
      <c r="CR28" s="75"/>
      <c r="CS28" s="19">
        <f t="shared" si="11"/>
        <v>0</v>
      </c>
      <c r="CT28" s="19">
        <f t="shared" si="12"/>
        <v>0</v>
      </c>
      <c r="CU28" s="19">
        <v>0</v>
      </c>
      <c r="CV28" s="20">
        <v>0</v>
      </c>
      <c r="CW28" s="52"/>
    </row>
    <row r="29" spans="1:101" ht="31.2" x14ac:dyDescent="0.3">
      <c r="A29" s="105" t="s">
        <v>1</v>
      </c>
      <c r="B29" s="21" t="s">
        <v>72</v>
      </c>
      <c r="C29" s="22" t="s">
        <v>73</v>
      </c>
      <c r="D29" s="19">
        <f t="shared" si="26"/>
        <v>3373325</v>
      </c>
      <c r="E29" s="19">
        <f t="shared" si="27"/>
        <v>3175325</v>
      </c>
      <c r="F29" s="19">
        <f t="shared" si="28"/>
        <v>3170724</v>
      </c>
      <c r="G29" s="23">
        <v>2166768</v>
      </c>
      <c r="H29" s="23">
        <v>539313</v>
      </c>
      <c r="I29" s="19">
        <f t="shared" si="7"/>
        <v>38440</v>
      </c>
      <c r="J29" s="23">
        <v>0</v>
      </c>
      <c r="K29" s="23">
        <v>0</v>
      </c>
      <c r="L29" s="23"/>
      <c r="M29" s="23"/>
      <c r="N29" s="23">
        <v>32000</v>
      </c>
      <c r="O29" s="23">
        <v>6440</v>
      </c>
      <c r="P29" s="19">
        <f t="shared" si="8"/>
        <v>0</v>
      </c>
      <c r="Q29" s="23">
        <v>0</v>
      </c>
      <c r="R29" s="23">
        <v>0</v>
      </c>
      <c r="S29" s="23">
        <v>0</v>
      </c>
      <c r="T29" s="23">
        <v>21828</v>
      </c>
      <c r="U29" s="19">
        <f t="shared" si="29"/>
        <v>253602</v>
      </c>
      <c r="V29" s="23">
        <v>167203</v>
      </c>
      <c r="W29" s="23">
        <v>69214</v>
      </c>
      <c r="X29" s="23">
        <v>9206</v>
      </c>
      <c r="Y29" s="23">
        <v>2819</v>
      </c>
      <c r="Z29" s="23">
        <v>5160</v>
      </c>
      <c r="AA29" s="23">
        <v>0</v>
      </c>
      <c r="AB29" s="23">
        <v>0</v>
      </c>
      <c r="AC29" s="23">
        <v>0</v>
      </c>
      <c r="AD29" s="19">
        <v>0</v>
      </c>
      <c r="AE29" s="19">
        <f t="shared" si="30"/>
        <v>150773</v>
      </c>
      <c r="AF29" s="19"/>
      <c r="AG29" s="24">
        <v>0</v>
      </c>
      <c r="AH29" s="23">
        <v>0</v>
      </c>
      <c r="AI29" s="23">
        <v>0</v>
      </c>
      <c r="AJ29" s="23">
        <v>0</v>
      </c>
      <c r="AK29" s="23">
        <v>340</v>
      </c>
      <c r="AL29" s="23">
        <v>0</v>
      </c>
      <c r="AM29" s="23">
        <v>130</v>
      </c>
      <c r="AN29" s="23">
        <v>30000</v>
      </c>
      <c r="AO29" s="23">
        <v>12212</v>
      </c>
      <c r="AP29" s="23">
        <v>0</v>
      </c>
      <c r="AQ29" s="23">
        <v>0</v>
      </c>
      <c r="AR29" s="23">
        <v>108091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19">
        <f t="shared" si="31"/>
        <v>4601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9"/>
        <v>0</v>
      </c>
      <c r="BL29" s="19">
        <v>0</v>
      </c>
      <c r="BM29" s="19">
        <v>0</v>
      </c>
      <c r="BN29" s="19">
        <f t="shared" si="34"/>
        <v>4601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4601</v>
      </c>
      <c r="BY29" s="19">
        <v>0</v>
      </c>
      <c r="BZ29" s="19">
        <f t="shared" si="35"/>
        <v>198000</v>
      </c>
      <c r="CA29" s="19">
        <f t="shared" si="36"/>
        <v>198000</v>
      </c>
      <c r="CB29" s="19">
        <f t="shared" si="10"/>
        <v>198000</v>
      </c>
      <c r="CC29" s="19">
        <v>0</v>
      </c>
      <c r="CD29" s="23">
        <v>198000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>
        <v>0</v>
      </c>
      <c r="CN29" s="19"/>
      <c r="CO29" s="19">
        <v>0</v>
      </c>
      <c r="CP29" s="75"/>
      <c r="CQ29" s="75"/>
      <c r="CR29" s="75"/>
      <c r="CS29" s="19">
        <f t="shared" si="11"/>
        <v>0</v>
      </c>
      <c r="CT29" s="19">
        <f t="shared" si="12"/>
        <v>0</v>
      </c>
      <c r="CU29" s="19">
        <v>0</v>
      </c>
      <c r="CV29" s="20">
        <v>0</v>
      </c>
      <c r="CW29" s="52"/>
    </row>
    <row r="30" spans="1:101" ht="31.2" x14ac:dyDescent="0.3">
      <c r="A30" s="105" t="s">
        <v>1</v>
      </c>
      <c r="B30" s="21" t="s">
        <v>74</v>
      </c>
      <c r="C30" s="22" t="s">
        <v>435</v>
      </c>
      <c r="D30" s="19">
        <f t="shared" si="26"/>
        <v>5910864</v>
      </c>
      <c r="E30" s="19">
        <f t="shared" si="27"/>
        <v>5711578</v>
      </c>
      <c r="F30" s="19">
        <f t="shared" si="28"/>
        <v>5711578</v>
      </c>
      <c r="G30" s="23">
        <v>4124316</v>
      </c>
      <c r="H30" s="23">
        <v>982126</v>
      </c>
      <c r="I30" s="19">
        <f t="shared" si="7"/>
        <v>385000</v>
      </c>
      <c r="J30" s="23">
        <v>0</v>
      </c>
      <c r="K30" s="23"/>
      <c r="L30" s="23"/>
      <c r="M30" s="23"/>
      <c r="N30" s="23">
        <v>330000</v>
      </c>
      <c r="O30" s="23">
        <v>55000</v>
      </c>
      <c r="P30" s="19">
        <f t="shared" si="8"/>
        <v>0</v>
      </c>
      <c r="Q30" s="23">
        <v>0</v>
      </c>
      <c r="R30" s="23">
        <v>0</v>
      </c>
      <c r="S30" s="23">
        <v>0</v>
      </c>
      <c r="T30" s="23">
        <v>52015</v>
      </c>
      <c r="U30" s="19">
        <f t="shared" si="29"/>
        <v>57571</v>
      </c>
      <c r="V30" s="23">
        <v>0</v>
      </c>
      <c r="W30" s="23">
        <v>33645</v>
      </c>
      <c r="X30" s="23">
        <v>18991</v>
      </c>
      <c r="Y30" s="23">
        <v>1053</v>
      </c>
      <c r="Z30" s="23">
        <v>3882</v>
      </c>
      <c r="AA30" s="23">
        <v>0</v>
      </c>
      <c r="AB30" s="23">
        <v>0</v>
      </c>
      <c r="AC30" s="23">
        <v>0</v>
      </c>
      <c r="AD30" s="19">
        <v>0</v>
      </c>
      <c r="AE30" s="19">
        <f t="shared" si="30"/>
        <v>110550</v>
      </c>
      <c r="AF30" s="19"/>
      <c r="AG30" s="24">
        <v>0</v>
      </c>
      <c r="AH30" s="23">
        <v>10000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8730</v>
      </c>
      <c r="AP30" s="23">
        <v>0</v>
      </c>
      <c r="AQ30" s="23">
        <v>0</v>
      </c>
      <c r="AR30" s="23">
        <v>579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91241</v>
      </c>
      <c r="BA30" s="19">
        <f t="shared" si="31"/>
        <v>0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9"/>
        <v>0</v>
      </c>
      <c r="BL30" s="19">
        <v>0</v>
      </c>
      <c r="BM30" s="19">
        <v>0</v>
      </c>
      <c r="BN30" s="19">
        <f t="shared" si="34"/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0</v>
      </c>
      <c r="BY30" s="19">
        <v>0</v>
      </c>
      <c r="BZ30" s="19">
        <f t="shared" si="35"/>
        <v>199286</v>
      </c>
      <c r="CA30" s="19">
        <f t="shared" si="36"/>
        <v>199286</v>
      </c>
      <c r="CB30" s="19">
        <f t="shared" si="10"/>
        <v>199286</v>
      </c>
      <c r="CC30" s="19">
        <v>0</v>
      </c>
      <c r="CD30" s="23">
        <v>199286</v>
      </c>
      <c r="CE30" s="19">
        <f t="shared" si="37"/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/>
      <c r="CO30" s="19">
        <v>0</v>
      </c>
      <c r="CP30" s="75"/>
      <c r="CQ30" s="75"/>
      <c r="CR30" s="75"/>
      <c r="CS30" s="19">
        <f t="shared" si="11"/>
        <v>0</v>
      </c>
      <c r="CT30" s="19">
        <f t="shared" si="12"/>
        <v>0</v>
      </c>
      <c r="CU30" s="19">
        <v>0</v>
      </c>
      <c r="CV30" s="20">
        <v>0</v>
      </c>
      <c r="CW30" s="52"/>
    </row>
    <row r="31" spans="1:101" ht="31.2" x14ac:dyDescent="0.3">
      <c r="A31" s="105" t="s">
        <v>1</v>
      </c>
      <c r="B31" s="21" t="s">
        <v>75</v>
      </c>
      <c r="C31" s="22" t="s">
        <v>76</v>
      </c>
      <c r="D31" s="19">
        <f t="shared" si="26"/>
        <v>941503</v>
      </c>
      <c r="E31" s="19">
        <f t="shared" si="27"/>
        <v>931503</v>
      </c>
      <c r="F31" s="19">
        <f t="shared" si="28"/>
        <v>926902</v>
      </c>
      <c r="G31" s="23">
        <v>652147</v>
      </c>
      <c r="H31" s="23">
        <v>147450</v>
      </c>
      <c r="I31" s="19">
        <f t="shared" si="7"/>
        <v>11000</v>
      </c>
      <c r="J31" s="23">
        <v>0</v>
      </c>
      <c r="K31" s="23"/>
      <c r="L31" s="23"/>
      <c r="M31" s="23"/>
      <c r="N31" s="23">
        <v>0</v>
      </c>
      <c r="O31" s="23">
        <v>11000</v>
      </c>
      <c r="P31" s="19">
        <f t="shared" si="8"/>
        <v>0</v>
      </c>
      <c r="Q31" s="23">
        <v>0</v>
      </c>
      <c r="R31" s="23">
        <v>0</v>
      </c>
      <c r="S31" s="23">
        <v>0</v>
      </c>
      <c r="T31" s="23">
        <v>10333</v>
      </c>
      <c r="U31" s="19">
        <f t="shared" si="29"/>
        <v>9986</v>
      </c>
      <c r="V31" s="23">
        <v>0</v>
      </c>
      <c r="W31" s="23">
        <v>5557</v>
      </c>
      <c r="X31" s="23">
        <v>3168</v>
      </c>
      <c r="Y31" s="23">
        <v>567</v>
      </c>
      <c r="Z31" s="23">
        <v>694</v>
      </c>
      <c r="AA31" s="23">
        <v>0</v>
      </c>
      <c r="AB31" s="23">
        <v>0</v>
      </c>
      <c r="AC31" s="23">
        <v>0</v>
      </c>
      <c r="AD31" s="19">
        <v>0</v>
      </c>
      <c r="AE31" s="19">
        <f t="shared" si="30"/>
        <v>95986</v>
      </c>
      <c r="AF31" s="19"/>
      <c r="AG31" s="24">
        <v>0</v>
      </c>
      <c r="AH31" s="23">
        <v>1300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8730</v>
      </c>
      <c r="AP31" s="23">
        <v>0</v>
      </c>
      <c r="AQ31" s="23">
        <v>0</v>
      </c>
      <c r="AR31" s="23">
        <v>19921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59000</v>
      </c>
      <c r="AZ31" s="23">
        <v>7035</v>
      </c>
      <c r="BA31" s="19">
        <f t="shared" si="31"/>
        <v>4601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9"/>
        <v>0</v>
      </c>
      <c r="BL31" s="19">
        <v>0</v>
      </c>
      <c r="BM31" s="19">
        <v>0</v>
      </c>
      <c r="BN31" s="19">
        <f t="shared" si="34"/>
        <v>4601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>
        <v>4601</v>
      </c>
      <c r="BY31" s="19">
        <v>0</v>
      </c>
      <c r="BZ31" s="19">
        <f t="shared" si="35"/>
        <v>10000</v>
      </c>
      <c r="CA31" s="19">
        <f t="shared" si="36"/>
        <v>10000</v>
      </c>
      <c r="CB31" s="19">
        <f t="shared" si="10"/>
        <v>10000</v>
      </c>
      <c r="CC31" s="19">
        <v>0</v>
      </c>
      <c r="CD31" s="23">
        <v>10000</v>
      </c>
      <c r="CE31" s="19">
        <f t="shared" si="37"/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/>
      <c r="CO31" s="19">
        <v>0</v>
      </c>
      <c r="CP31" s="75"/>
      <c r="CQ31" s="75"/>
      <c r="CR31" s="75"/>
      <c r="CS31" s="19">
        <f t="shared" si="11"/>
        <v>0</v>
      </c>
      <c r="CT31" s="19">
        <f t="shared" si="12"/>
        <v>0</v>
      </c>
      <c r="CU31" s="19">
        <v>0</v>
      </c>
      <c r="CV31" s="20">
        <v>0</v>
      </c>
      <c r="CW31" s="52"/>
    </row>
    <row r="32" spans="1:101" ht="31.2" x14ac:dyDescent="0.3">
      <c r="A32" s="105" t="s">
        <v>1</v>
      </c>
      <c r="B32" s="21" t="s">
        <v>78</v>
      </c>
      <c r="C32" s="22" t="s">
        <v>600</v>
      </c>
      <c r="D32" s="19">
        <f t="shared" si="26"/>
        <v>6351269</v>
      </c>
      <c r="E32" s="19">
        <f t="shared" si="27"/>
        <v>6351269</v>
      </c>
      <c r="F32" s="19">
        <f t="shared" si="28"/>
        <v>6351269</v>
      </c>
      <c r="G32" s="23">
        <v>4111834</v>
      </c>
      <c r="H32" s="23">
        <v>972986</v>
      </c>
      <c r="I32" s="19">
        <f t="shared" si="7"/>
        <v>326490</v>
      </c>
      <c r="J32" s="23">
        <v>0</v>
      </c>
      <c r="K32" s="23"/>
      <c r="L32" s="23"/>
      <c r="M32" s="23"/>
      <c r="N32" s="23">
        <v>114992</v>
      </c>
      <c r="O32" s="23">
        <v>211498</v>
      </c>
      <c r="P32" s="19">
        <f t="shared" si="8"/>
        <v>0</v>
      </c>
      <c r="Q32" s="23">
        <v>0</v>
      </c>
      <c r="R32" s="23">
        <v>0</v>
      </c>
      <c r="S32" s="23">
        <v>0</v>
      </c>
      <c r="T32" s="23">
        <v>49989</v>
      </c>
      <c r="U32" s="19">
        <f t="shared" si="29"/>
        <v>216439</v>
      </c>
      <c r="V32" s="23">
        <v>17114</v>
      </c>
      <c r="W32" s="23">
        <v>107792</v>
      </c>
      <c r="X32" s="23">
        <v>81102</v>
      </c>
      <c r="Y32" s="23">
        <v>8301</v>
      </c>
      <c r="Z32" s="23">
        <v>2130</v>
      </c>
      <c r="AA32" s="23">
        <v>0</v>
      </c>
      <c r="AB32" s="23">
        <v>0</v>
      </c>
      <c r="AC32" s="23">
        <v>0</v>
      </c>
      <c r="AD32" s="19">
        <v>0</v>
      </c>
      <c r="AE32" s="19">
        <f t="shared" si="30"/>
        <v>673531</v>
      </c>
      <c r="AF32" s="19"/>
      <c r="AG32" s="24">
        <v>0</v>
      </c>
      <c r="AH32" s="23">
        <v>23223</v>
      </c>
      <c r="AI32" s="23">
        <v>189624</v>
      </c>
      <c r="AJ32" s="23">
        <v>0</v>
      </c>
      <c r="AK32" s="23">
        <v>6204</v>
      </c>
      <c r="AL32" s="23">
        <v>0</v>
      </c>
      <c r="AM32" s="23">
        <v>0</v>
      </c>
      <c r="AN32" s="23">
        <v>0</v>
      </c>
      <c r="AO32" s="23">
        <v>21534</v>
      </c>
      <c r="AP32" s="23">
        <v>0</v>
      </c>
      <c r="AQ32" s="23">
        <v>0</v>
      </c>
      <c r="AR32" s="23">
        <v>104024</v>
      </c>
      <c r="AS32" s="23">
        <v>152500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117645</v>
      </c>
      <c r="AZ32" s="23">
        <v>58777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9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>
        <v>0</v>
      </c>
      <c r="BY32" s="19">
        <v>0</v>
      </c>
      <c r="BZ32" s="19">
        <f t="shared" si="35"/>
        <v>0</v>
      </c>
      <c r="CA32" s="19">
        <f t="shared" si="36"/>
        <v>0</v>
      </c>
      <c r="CB32" s="19">
        <f t="shared" si="10"/>
        <v>0</v>
      </c>
      <c r="CC32" s="19">
        <v>0</v>
      </c>
      <c r="CD32" s="23">
        <v>0</v>
      </c>
      <c r="CE32" s="19">
        <f t="shared" si="37"/>
        <v>0</v>
      </c>
      <c r="CF32" s="19">
        <v>0</v>
      </c>
      <c r="CG32" s="19">
        <v>0</v>
      </c>
      <c r="CH32" s="19"/>
      <c r="CI32" s="19">
        <v>0</v>
      </c>
      <c r="CJ32" s="19">
        <v>0</v>
      </c>
      <c r="CK32" s="19">
        <f t="shared" si="38"/>
        <v>0</v>
      </c>
      <c r="CL32" s="19">
        <v>0</v>
      </c>
      <c r="CM32" s="19"/>
      <c r="CN32" s="19"/>
      <c r="CO32" s="19">
        <v>0</v>
      </c>
      <c r="CP32" s="75"/>
      <c r="CQ32" s="75"/>
      <c r="CR32" s="75"/>
      <c r="CS32" s="19">
        <f t="shared" si="11"/>
        <v>0</v>
      </c>
      <c r="CT32" s="19">
        <f t="shared" si="12"/>
        <v>0</v>
      </c>
      <c r="CU32" s="19">
        <v>0</v>
      </c>
      <c r="CV32" s="20">
        <v>0</v>
      </c>
      <c r="CW32" s="52"/>
    </row>
    <row r="33" spans="1:101" s="58" customFormat="1" ht="31.2" x14ac:dyDescent="0.3">
      <c r="A33" s="104" t="s">
        <v>79</v>
      </c>
      <c r="B33" s="16" t="s">
        <v>1</v>
      </c>
      <c r="C33" s="17" t="s">
        <v>80</v>
      </c>
      <c r="D33" s="18">
        <f>SUM(D34)</f>
        <v>47393323</v>
      </c>
      <c r="E33" s="18">
        <f t="shared" ref="E33:BT33" si="39">SUM(E34)</f>
        <v>46809416</v>
      </c>
      <c r="F33" s="18">
        <f t="shared" si="39"/>
        <v>44500714</v>
      </c>
      <c r="G33" s="18">
        <f t="shared" si="39"/>
        <v>35265853</v>
      </c>
      <c r="H33" s="18">
        <f t="shared" si="39"/>
        <v>3541522</v>
      </c>
      <c r="I33" s="18">
        <f t="shared" si="39"/>
        <v>1992970</v>
      </c>
      <c r="J33" s="18">
        <f t="shared" si="39"/>
        <v>0</v>
      </c>
      <c r="K33" s="18">
        <f t="shared" si="39"/>
        <v>262526</v>
      </c>
      <c r="L33" s="18">
        <f t="shared" si="39"/>
        <v>0</v>
      </c>
      <c r="M33" s="18">
        <f t="shared" si="39"/>
        <v>0</v>
      </c>
      <c r="N33" s="18">
        <f t="shared" si="39"/>
        <v>631094</v>
      </c>
      <c r="O33" s="18">
        <f t="shared" si="39"/>
        <v>1099350</v>
      </c>
      <c r="P33" s="18">
        <f t="shared" si="39"/>
        <v>0</v>
      </c>
      <c r="Q33" s="18">
        <f t="shared" si="39"/>
        <v>0</v>
      </c>
      <c r="R33" s="18">
        <f t="shared" si="39"/>
        <v>0</v>
      </c>
      <c r="S33" s="18">
        <f t="shared" si="39"/>
        <v>0</v>
      </c>
      <c r="T33" s="18">
        <f t="shared" si="39"/>
        <v>891347</v>
      </c>
      <c r="U33" s="18">
        <f t="shared" si="39"/>
        <v>758808</v>
      </c>
      <c r="V33" s="18">
        <f t="shared" si="39"/>
        <v>254654</v>
      </c>
      <c r="W33" s="18">
        <f t="shared" si="39"/>
        <v>87624</v>
      </c>
      <c r="X33" s="18">
        <f t="shared" si="39"/>
        <v>325332</v>
      </c>
      <c r="Y33" s="18">
        <f t="shared" si="39"/>
        <v>41612</v>
      </c>
      <c r="Z33" s="18">
        <f t="shared" si="39"/>
        <v>17713</v>
      </c>
      <c r="AA33" s="18">
        <f t="shared" si="39"/>
        <v>0</v>
      </c>
      <c r="AB33" s="18">
        <f t="shared" si="39"/>
        <v>0</v>
      </c>
      <c r="AC33" s="18">
        <f t="shared" si="39"/>
        <v>31873</v>
      </c>
      <c r="AD33" s="18">
        <f t="shared" si="39"/>
        <v>0</v>
      </c>
      <c r="AE33" s="18">
        <f t="shared" si="39"/>
        <v>2050214</v>
      </c>
      <c r="AF33" s="18">
        <f t="shared" si="39"/>
        <v>0</v>
      </c>
      <c r="AG33" s="18">
        <f t="shared" si="39"/>
        <v>0</v>
      </c>
      <c r="AH33" s="18">
        <f t="shared" si="39"/>
        <v>193750</v>
      </c>
      <c r="AI33" s="18">
        <f t="shared" si="39"/>
        <v>277854</v>
      </c>
      <c r="AJ33" s="18">
        <f t="shared" si="39"/>
        <v>0</v>
      </c>
      <c r="AK33" s="18">
        <f t="shared" si="39"/>
        <v>32268</v>
      </c>
      <c r="AL33" s="18">
        <f t="shared" si="39"/>
        <v>12729</v>
      </c>
      <c r="AM33" s="18">
        <f t="shared" si="39"/>
        <v>7671</v>
      </c>
      <c r="AN33" s="18">
        <f t="shared" si="39"/>
        <v>0</v>
      </c>
      <c r="AO33" s="18">
        <f t="shared" si="39"/>
        <v>22407</v>
      </c>
      <c r="AP33" s="18">
        <f t="shared" si="39"/>
        <v>0</v>
      </c>
      <c r="AQ33" s="18">
        <f t="shared" si="39"/>
        <v>0</v>
      </c>
      <c r="AR33" s="18">
        <f t="shared" si="39"/>
        <v>82719</v>
      </c>
      <c r="AS33" s="18">
        <f t="shared" si="39"/>
        <v>0</v>
      </c>
      <c r="AT33" s="18"/>
      <c r="AU33" s="18"/>
      <c r="AV33" s="18">
        <f t="shared" si="39"/>
        <v>0</v>
      </c>
      <c r="AW33" s="18">
        <f t="shared" si="39"/>
        <v>1016988</v>
      </c>
      <c r="AX33" s="18">
        <f t="shared" si="39"/>
        <v>0</v>
      </c>
      <c r="AY33" s="18"/>
      <c r="AZ33" s="18">
        <f t="shared" si="39"/>
        <v>403828</v>
      </c>
      <c r="BA33" s="18">
        <f t="shared" si="39"/>
        <v>2308702</v>
      </c>
      <c r="BB33" s="18">
        <f t="shared" si="39"/>
        <v>0</v>
      </c>
      <c r="BC33" s="18">
        <f t="shared" si="39"/>
        <v>0</v>
      </c>
      <c r="BD33" s="18">
        <f t="shared" si="39"/>
        <v>0</v>
      </c>
      <c r="BE33" s="18">
        <f t="shared" si="39"/>
        <v>0</v>
      </c>
      <c r="BF33" s="18">
        <f t="shared" si="39"/>
        <v>0</v>
      </c>
      <c r="BG33" s="18">
        <f t="shared" si="39"/>
        <v>0</v>
      </c>
      <c r="BH33" s="18">
        <f t="shared" si="39"/>
        <v>0</v>
      </c>
      <c r="BI33" s="18">
        <f t="shared" si="39"/>
        <v>0</v>
      </c>
      <c r="BJ33" s="18">
        <f t="shared" si="39"/>
        <v>0</v>
      </c>
      <c r="BK33" s="18">
        <f t="shared" si="39"/>
        <v>0</v>
      </c>
      <c r="BL33" s="18">
        <f t="shared" si="39"/>
        <v>0</v>
      </c>
      <c r="BM33" s="18">
        <f t="shared" si="39"/>
        <v>0</v>
      </c>
      <c r="BN33" s="18">
        <f t="shared" si="39"/>
        <v>2308702</v>
      </c>
      <c r="BO33" s="18">
        <f t="shared" si="39"/>
        <v>0</v>
      </c>
      <c r="BP33" s="18">
        <f t="shared" si="39"/>
        <v>0</v>
      </c>
      <c r="BQ33" s="18">
        <f t="shared" si="39"/>
        <v>0</v>
      </c>
      <c r="BR33" s="18">
        <f t="shared" si="39"/>
        <v>0</v>
      </c>
      <c r="BS33" s="18">
        <f t="shared" si="39"/>
        <v>0</v>
      </c>
      <c r="BT33" s="18">
        <f t="shared" si="39"/>
        <v>0</v>
      </c>
      <c r="BU33" s="18">
        <f t="shared" ref="BU33:CV33" si="40">SUM(BU34)</f>
        <v>0</v>
      </c>
      <c r="BV33" s="18">
        <f t="shared" si="40"/>
        <v>0</v>
      </c>
      <c r="BW33" s="18">
        <f t="shared" si="40"/>
        <v>0</v>
      </c>
      <c r="BX33" s="18">
        <f t="shared" si="40"/>
        <v>2308702</v>
      </c>
      <c r="BY33" s="18">
        <f t="shared" si="40"/>
        <v>0</v>
      </c>
      <c r="BZ33" s="18">
        <f t="shared" si="40"/>
        <v>583907</v>
      </c>
      <c r="CA33" s="18">
        <f t="shared" si="40"/>
        <v>583907</v>
      </c>
      <c r="CB33" s="18">
        <f t="shared" si="40"/>
        <v>583907</v>
      </c>
      <c r="CC33" s="18">
        <f t="shared" si="40"/>
        <v>0</v>
      </c>
      <c r="CD33" s="18">
        <f t="shared" si="40"/>
        <v>583907</v>
      </c>
      <c r="CE33" s="18">
        <f t="shared" si="40"/>
        <v>0</v>
      </c>
      <c r="CF33" s="18">
        <f t="shared" si="40"/>
        <v>0</v>
      </c>
      <c r="CG33" s="18">
        <f t="shared" si="40"/>
        <v>0</v>
      </c>
      <c r="CH33" s="18">
        <f t="shared" si="40"/>
        <v>0</v>
      </c>
      <c r="CI33" s="18">
        <f t="shared" si="40"/>
        <v>0</v>
      </c>
      <c r="CJ33" s="18">
        <f t="shared" si="40"/>
        <v>0</v>
      </c>
      <c r="CK33" s="18">
        <f t="shared" si="40"/>
        <v>0</v>
      </c>
      <c r="CL33" s="18">
        <f t="shared" si="40"/>
        <v>0</v>
      </c>
      <c r="CM33" s="18">
        <f t="shared" si="40"/>
        <v>0</v>
      </c>
      <c r="CN33" s="18"/>
      <c r="CO33" s="18">
        <f t="shared" si="40"/>
        <v>0</v>
      </c>
      <c r="CP33" s="74"/>
      <c r="CQ33" s="74"/>
      <c r="CR33" s="74"/>
      <c r="CS33" s="18">
        <f t="shared" si="40"/>
        <v>0</v>
      </c>
      <c r="CT33" s="18">
        <f t="shared" si="40"/>
        <v>0</v>
      </c>
      <c r="CU33" s="18">
        <f t="shared" si="40"/>
        <v>0</v>
      </c>
      <c r="CV33" s="46">
        <f t="shared" si="40"/>
        <v>0</v>
      </c>
      <c r="CW33" s="57"/>
    </row>
    <row r="34" spans="1:101" ht="15.6" x14ac:dyDescent="0.3">
      <c r="A34" s="105" t="s">
        <v>1</v>
      </c>
      <c r="B34" s="21" t="s">
        <v>77</v>
      </c>
      <c r="C34" s="22" t="s">
        <v>459</v>
      </c>
      <c r="D34" s="19">
        <f>SUM(E34+BZ34+CS34)</f>
        <v>47393323</v>
      </c>
      <c r="E34" s="19">
        <f>SUM(F34+BA34)</f>
        <v>46809416</v>
      </c>
      <c r="F34" s="19">
        <f>SUM(G34+H34+I34+P34+S34+T34+U34+AE34+AD34)</f>
        <v>44500714</v>
      </c>
      <c r="G34" s="23">
        <v>35265853</v>
      </c>
      <c r="H34" s="23">
        <v>3541522</v>
      </c>
      <c r="I34" s="19">
        <f t="shared" si="7"/>
        <v>1992970</v>
      </c>
      <c r="J34" s="39">
        <v>0</v>
      </c>
      <c r="K34" s="23">
        <v>262526</v>
      </c>
      <c r="L34" s="23">
        <v>0</v>
      </c>
      <c r="M34" s="23">
        <v>0</v>
      </c>
      <c r="N34" s="23">
        <v>631094</v>
      </c>
      <c r="O34" s="23">
        <v>1099350</v>
      </c>
      <c r="P34" s="19">
        <f t="shared" si="8"/>
        <v>0</v>
      </c>
      <c r="Q34" s="23"/>
      <c r="R34" s="23"/>
      <c r="S34" s="23"/>
      <c r="T34" s="23">
        <v>891347</v>
      </c>
      <c r="U34" s="19">
        <f>SUM(V34:AC34)</f>
        <v>758808</v>
      </c>
      <c r="V34" s="23">
        <v>254654</v>
      </c>
      <c r="W34" s="23">
        <v>87624</v>
      </c>
      <c r="X34" s="23">
        <v>325332</v>
      </c>
      <c r="Y34" s="23">
        <v>41612</v>
      </c>
      <c r="Z34" s="23">
        <v>17713</v>
      </c>
      <c r="AA34" s="23">
        <v>0</v>
      </c>
      <c r="AB34" s="23">
        <v>0</v>
      </c>
      <c r="AC34" s="23">
        <v>31873</v>
      </c>
      <c r="AD34" s="19">
        <v>0</v>
      </c>
      <c r="AE34" s="19">
        <f>SUM(AF34:AZ34)</f>
        <v>2050214</v>
      </c>
      <c r="AF34" s="19">
        <v>0</v>
      </c>
      <c r="AG34" s="19">
        <v>0</v>
      </c>
      <c r="AH34" s="23">
        <v>193750</v>
      </c>
      <c r="AI34" s="23">
        <v>277854</v>
      </c>
      <c r="AJ34" s="23">
        <v>0</v>
      </c>
      <c r="AK34" s="23">
        <v>32268</v>
      </c>
      <c r="AL34" s="23">
        <v>12729</v>
      </c>
      <c r="AM34" s="23">
        <v>7671</v>
      </c>
      <c r="AN34" s="23">
        <v>0</v>
      </c>
      <c r="AO34" s="23">
        <v>22407</v>
      </c>
      <c r="AP34" s="23">
        <v>0</v>
      </c>
      <c r="AQ34" s="23">
        <v>0</v>
      </c>
      <c r="AR34" s="23">
        <v>82719</v>
      </c>
      <c r="AS34" s="23">
        <v>0</v>
      </c>
      <c r="AT34" s="23">
        <v>0</v>
      </c>
      <c r="AU34" s="23">
        <v>0</v>
      </c>
      <c r="AV34" s="23">
        <v>0</v>
      </c>
      <c r="AW34" s="23">
        <v>1016988</v>
      </c>
      <c r="AX34" s="23">
        <v>0</v>
      </c>
      <c r="AY34" s="23">
        <v>0</v>
      </c>
      <c r="AZ34" s="23">
        <v>403828</v>
      </c>
      <c r="BA34" s="19">
        <f>SUM(BB34+BF34+BI34+BK34+BN34)</f>
        <v>2308702</v>
      </c>
      <c r="BB34" s="19">
        <f>SUM(BC34:BE34)</f>
        <v>0</v>
      </c>
      <c r="BC34" s="19">
        <v>0</v>
      </c>
      <c r="BD34" s="19">
        <v>0</v>
      </c>
      <c r="BE34" s="19">
        <v>0</v>
      </c>
      <c r="BF34" s="19">
        <f>SUM(BH34:BH34)</f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9"/>
        <v>0</v>
      </c>
      <c r="BL34" s="19">
        <v>0</v>
      </c>
      <c r="BM34" s="19">
        <v>0</v>
      </c>
      <c r="BN34" s="19">
        <f>SUM(BO34:BY34)</f>
        <v>2308702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2308702</v>
      </c>
      <c r="BY34" s="19">
        <v>0</v>
      </c>
      <c r="BZ34" s="19">
        <f>SUM(CA34+CO34)</f>
        <v>583907</v>
      </c>
      <c r="CA34" s="19">
        <f>SUM(CB34+CE34+CK34)</f>
        <v>583907</v>
      </c>
      <c r="CB34" s="19">
        <f t="shared" si="10"/>
        <v>583907</v>
      </c>
      <c r="CC34" s="19">
        <v>0</v>
      </c>
      <c r="CD34" s="23">
        <v>583907</v>
      </c>
      <c r="CE34" s="19">
        <f>SUM(CF34:CJ34)</f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>SUM(CL34:CN34)</f>
        <v>0</v>
      </c>
      <c r="CL34" s="19"/>
      <c r="CM34" s="23"/>
      <c r="CN34" s="19"/>
      <c r="CO34" s="19">
        <v>0</v>
      </c>
      <c r="CP34" s="75"/>
      <c r="CQ34" s="75"/>
      <c r="CR34" s="75"/>
      <c r="CS34" s="19">
        <f t="shared" si="11"/>
        <v>0</v>
      </c>
      <c r="CT34" s="19">
        <f t="shared" si="12"/>
        <v>0</v>
      </c>
      <c r="CU34" s="19">
        <v>0</v>
      </c>
      <c r="CV34" s="20">
        <v>0</v>
      </c>
      <c r="CW34" s="52"/>
    </row>
    <row r="35" spans="1:101" s="58" customFormat="1" ht="31.2" x14ac:dyDescent="0.3">
      <c r="A35" s="104" t="s">
        <v>81</v>
      </c>
      <c r="B35" s="16" t="s">
        <v>1</v>
      </c>
      <c r="C35" s="17" t="s">
        <v>82</v>
      </c>
      <c r="D35" s="18">
        <f t="shared" ref="D35:AS35" si="41">SUM(D36:D39)</f>
        <v>18669136</v>
      </c>
      <c r="E35" s="18">
        <f t="shared" si="41"/>
        <v>18451490</v>
      </c>
      <c r="F35" s="18">
        <f t="shared" si="41"/>
        <v>18448806</v>
      </c>
      <c r="G35" s="18">
        <f t="shared" si="41"/>
        <v>13159588</v>
      </c>
      <c r="H35" s="18">
        <f t="shared" si="41"/>
        <v>3211882</v>
      </c>
      <c r="I35" s="18">
        <f t="shared" si="41"/>
        <v>674426</v>
      </c>
      <c r="J35" s="18">
        <f t="shared" si="41"/>
        <v>0</v>
      </c>
      <c r="K35" s="18">
        <f t="shared" si="41"/>
        <v>0</v>
      </c>
      <c r="L35" s="18">
        <f t="shared" si="41"/>
        <v>0</v>
      </c>
      <c r="M35" s="18">
        <f t="shared" si="41"/>
        <v>0</v>
      </c>
      <c r="N35" s="18">
        <f t="shared" si="41"/>
        <v>306601</v>
      </c>
      <c r="O35" s="18">
        <f t="shared" si="41"/>
        <v>367825</v>
      </c>
      <c r="P35" s="18">
        <f t="shared" si="41"/>
        <v>50000</v>
      </c>
      <c r="Q35" s="18">
        <f t="shared" si="41"/>
        <v>0</v>
      </c>
      <c r="R35" s="18">
        <f t="shared" si="41"/>
        <v>50000</v>
      </c>
      <c r="S35" s="18">
        <f t="shared" si="41"/>
        <v>40000</v>
      </c>
      <c r="T35" s="18">
        <f t="shared" si="41"/>
        <v>263045</v>
      </c>
      <c r="U35" s="18">
        <f t="shared" si="41"/>
        <v>557776</v>
      </c>
      <c r="V35" s="18">
        <f t="shared" si="41"/>
        <v>60096</v>
      </c>
      <c r="W35" s="18">
        <f t="shared" si="41"/>
        <v>93985</v>
      </c>
      <c r="X35" s="18">
        <f t="shared" si="41"/>
        <v>86334</v>
      </c>
      <c r="Y35" s="18">
        <f t="shared" si="41"/>
        <v>19972</v>
      </c>
      <c r="Z35" s="18">
        <f t="shared" si="41"/>
        <v>13337</v>
      </c>
      <c r="AA35" s="18">
        <f t="shared" si="41"/>
        <v>270721</v>
      </c>
      <c r="AB35" s="18">
        <f t="shared" si="41"/>
        <v>0</v>
      </c>
      <c r="AC35" s="18">
        <f t="shared" si="41"/>
        <v>13331</v>
      </c>
      <c r="AD35" s="18">
        <f t="shared" si="41"/>
        <v>0</v>
      </c>
      <c r="AE35" s="18">
        <f t="shared" si="41"/>
        <v>492089</v>
      </c>
      <c r="AF35" s="18">
        <f t="shared" si="41"/>
        <v>0</v>
      </c>
      <c r="AG35" s="18">
        <f t="shared" si="41"/>
        <v>0</v>
      </c>
      <c r="AH35" s="18">
        <f t="shared" si="41"/>
        <v>54057</v>
      </c>
      <c r="AI35" s="18">
        <f t="shared" si="41"/>
        <v>38382</v>
      </c>
      <c r="AJ35" s="18">
        <f t="shared" si="41"/>
        <v>0</v>
      </c>
      <c r="AK35" s="18">
        <f t="shared" si="41"/>
        <v>8198</v>
      </c>
      <c r="AL35" s="18">
        <f t="shared" si="41"/>
        <v>265</v>
      </c>
      <c r="AM35" s="18">
        <f t="shared" si="41"/>
        <v>0</v>
      </c>
      <c r="AN35" s="18">
        <f t="shared" si="41"/>
        <v>14630</v>
      </c>
      <c r="AO35" s="18">
        <f t="shared" si="41"/>
        <v>7566</v>
      </c>
      <c r="AP35" s="18">
        <f t="shared" si="41"/>
        <v>365</v>
      </c>
      <c r="AQ35" s="18">
        <f t="shared" si="41"/>
        <v>0</v>
      </c>
      <c r="AR35" s="18">
        <f t="shared" si="41"/>
        <v>72143</v>
      </c>
      <c r="AS35" s="18">
        <f t="shared" si="41"/>
        <v>0</v>
      </c>
      <c r="AT35" s="18"/>
      <c r="AU35" s="18"/>
      <c r="AV35" s="18">
        <f>SUM(AV36:AV39)</f>
        <v>0</v>
      </c>
      <c r="AW35" s="18">
        <f>SUM(AW36:AW39)</f>
        <v>0</v>
      </c>
      <c r="AX35" s="18">
        <f>SUM(AX36:AX39)</f>
        <v>75165</v>
      </c>
      <c r="AY35" s="18"/>
      <c r="AZ35" s="18">
        <f t="shared" ref="AZ35:CM35" si="42">SUM(AZ36:AZ39)</f>
        <v>221318</v>
      </c>
      <c r="BA35" s="18">
        <f t="shared" si="42"/>
        <v>2684</v>
      </c>
      <c r="BB35" s="18">
        <f t="shared" si="42"/>
        <v>0</v>
      </c>
      <c r="BC35" s="18">
        <f t="shared" si="42"/>
        <v>0</v>
      </c>
      <c r="BD35" s="18">
        <f t="shared" si="42"/>
        <v>0</v>
      </c>
      <c r="BE35" s="18">
        <f t="shared" si="42"/>
        <v>0</v>
      </c>
      <c r="BF35" s="18">
        <f t="shared" si="42"/>
        <v>0</v>
      </c>
      <c r="BG35" s="18">
        <f t="shared" si="42"/>
        <v>0</v>
      </c>
      <c r="BH35" s="18">
        <f t="shared" si="42"/>
        <v>0</v>
      </c>
      <c r="BI35" s="18">
        <f t="shared" si="42"/>
        <v>0</v>
      </c>
      <c r="BJ35" s="18">
        <f t="shared" ref="BJ35" si="43">SUM(BJ36:BJ39)</f>
        <v>0</v>
      </c>
      <c r="BK35" s="18">
        <f t="shared" si="42"/>
        <v>0</v>
      </c>
      <c r="BL35" s="18">
        <f t="shared" si="42"/>
        <v>0</v>
      </c>
      <c r="BM35" s="18">
        <f t="shared" si="42"/>
        <v>0</v>
      </c>
      <c r="BN35" s="18">
        <f t="shared" si="42"/>
        <v>2684</v>
      </c>
      <c r="BO35" s="18">
        <f t="shared" si="42"/>
        <v>0</v>
      </c>
      <c r="BP35" s="18">
        <f t="shared" si="42"/>
        <v>0</v>
      </c>
      <c r="BQ35" s="18">
        <f t="shared" si="42"/>
        <v>0</v>
      </c>
      <c r="BR35" s="18">
        <f t="shared" si="42"/>
        <v>0</v>
      </c>
      <c r="BS35" s="18">
        <f t="shared" si="42"/>
        <v>0</v>
      </c>
      <c r="BT35" s="18">
        <f t="shared" si="42"/>
        <v>0</v>
      </c>
      <c r="BU35" s="18">
        <f t="shared" si="42"/>
        <v>0</v>
      </c>
      <c r="BV35" s="18">
        <f t="shared" si="42"/>
        <v>0</v>
      </c>
      <c r="BW35" s="18">
        <f t="shared" si="42"/>
        <v>0</v>
      </c>
      <c r="BX35" s="18">
        <f t="shared" si="42"/>
        <v>2684</v>
      </c>
      <c r="BY35" s="18">
        <f t="shared" si="42"/>
        <v>0</v>
      </c>
      <c r="BZ35" s="18">
        <f t="shared" si="42"/>
        <v>217646</v>
      </c>
      <c r="CA35" s="18">
        <f t="shared" si="42"/>
        <v>217646</v>
      </c>
      <c r="CB35" s="18">
        <f t="shared" si="42"/>
        <v>217646</v>
      </c>
      <c r="CC35" s="18">
        <f t="shared" si="42"/>
        <v>0</v>
      </c>
      <c r="CD35" s="18">
        <f t="shared" si="42"/>
        <v>217646</v>
      </c>
      <c r="CE35" s="18">
        <f t="shared" si="42"/>
        <v>0</v>
      </c>
      <c r="CF35" s="18">
        <f t="shared" si="42"/>
        <v>0</v>
      </c>
      <c r="CG35" s="18">
        <f t="shared" si="42"/>
        <v>0</v>
      </c>
      <c r="CH35" s="18">
        <f t="shared" si="42"/>
        <v>0</v>
      </c>
      <c r="CI35" s="18">
        <f t="shared" si="42"/>
        <v>0</v>
      </c>
      <c r="CJ35" s="18">
        <f t="shared" si="42"/>
        <v>0</v>
      </c>
      <c r="CK35" s="18">
        <f t="shared" si="42"/>
        <v>0</v>
      </c>
      <c r="CL35" s="18">
        <f t="shared" si="42"/>
        <v>0</v>
      </c>
      <c r="CM35" s="18">
        <f t="shared" si="42"/>
        <v>0</v>
      </c>
      <c r="CN35" s="18"/>
      <c r="CO35" s="18">
        <f>SUM(CO36:CO39)</f>
        <v>0</v>
      </c>
      <c r="CP35" s="74"/>
      <c r="CQ35" s="74"/>
      <c r="CR35" s="74"/>
      <c r="CS35" s="18">
        <f>SUM(CS36:CS39)</f>
        <v>0</v>
      </c>
      <c r="CT35" s="18">
        <f>SUM(CT36:CT39)</f>
        <v>0</v>
      </c>
      <c r="CU35" s="18">
        <f>SUM(CU36:CU39)</f>
        <v>0</v>
      </c>
      <c r="CV35" s="46">
        <f>SUM(CV36:CV39)</f>
        <v>0</v>
      </c>
      <c r="CW35" s="57"/>
    </row>
    <row r="36" spans="1:101" ht="15.6" x14ac:dyDescent="0.3">
      <c r="A36" s="105" t="s">
        <v>1</v>
      </c>
      <c r="B36" s="21" t="s">
        <v>54</v>
      </c>
      <c r="C36" s="22" t="s">
        <v>325</v>
      </c>
      <c r="D36" s="19">
        <f>SUM(E36+BZ36+CS36)</f>
        <v>1705148</v>
      </c>
      <c r="E36" s="19">
        <f>SUM(F36+BA36)</f>
        <v>1705148</v>
      </c>
      <c r="F36" s="19">
        <f>SUM(G36+H36+I36+P36+S36+T36+U36+AE36+AD36)</f>
        <v>1705148</v>
      </c>
      <c r="G36" s="23">
        <v>1015440</v>
      </c>
      <c r="H36" s="23">
        <v>253860</v>
      </c>
      <c r="I36" s="19">
        <f t="shared" si="7"/>
        <v>34788</v>
      </c>
      <c r="J36" s="19">
        <v>0</v>
      </c>
      <c r="K36" s="19">
        <v>0</v>
      </c>
      <c r="L36" s="19">
        <v>0</v>
      </c>
      <c r="M36" s="19">
        <v>0</v>
      </c>
      <c r="N36" s="23">
        <v>19788</v>
      </c>
      <c r="O36" s="23">
        <v>15000</v>
      </c>
      <c r="P36" s="19">
        <f t="shared" si="8"/>
        <v>50000</v>
      </c>
      <c r="Q36" s="23">
        <v>0</v>
      </c>
      <c r="R36" s="23">
        <v>50000</v>
      </c>
      <c r="S36" s="23">
        <v>40000</v>
      </c>
      <c r="T36" s="23">
        <v>28175</v>
      </c>
      <c r="U36" s="19">
        <f t="shared" ref="U36:U39" si="44">SUM(V36:AC36)</f>
        <v>212520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212520</v>
      </c>
      <c r="AB36" s="23">
        <v>0</v>
      </c>
      <c r="AC36" s="23">
        <v>0</v>
      </c>
      <c r="AD36" s="19">
        <v>0</v>
      </c>
      <c r="AE36" s="19">
        <f>SUM(AF36:AZ36)</f>
        <v>70365</v>
      </c>
      <c r="AF36" s="19">
        <v>0</v>
      </c>
      <c r="AG36" s="19">
        <v>0</v>
      </c>
      <c r="AH36" s="23">
        <v>10000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60365</v>
      </c>
      <c r="BA36" s="19">
        <f t="shared" ref="BA36:BA39" si="45">SUM(BB36+BF36+BI36+BK36+BN36)</f>
        <v>0</v>
      </c>
      <c r="BB36" s="19">
        <f>SUM(BC36:BE36)</f>
        <v>0</v>
      </c>
      <c r="BC36" s="19">
        <v>0</v>
      </c>
      <c r="BD36" s="19">
        <v>0</v>
      </c>
      <c r="BE36" s="19">
        <v>0</v>
      </c>
      <c r="BF36" s="19">
        <f>SUM(BH36:BH36)</f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9"/>
        <v>0</v>
      </c>
      <c r="BL36" s="19">
        <v>0</v>
      </c>
      <c r="BM36" s="19">
        <v>0</v>
      </c>
      <c r="BN36" s="19">
        <f>SUM(BO36:BY36)</f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0</v>
      </c>
      <c r="BY36" s="19">
        <v>0</v>
      </c>
      <c r="BZ36" s="19">
        <f>SUM(CA36+CO36)</f>
        <v>0</v>
      </c>
      <c r="CA36" s="19">
        <f>SUM(CB36+CE36+CK36)</f>
        <v>0</v>
      </c>
      <c r="CB36" s="19">
        <f t="shared" si="10"/>
        <v>0</v>
      </c>
      <c r="CC36" s="19">
        <v>0</v>
      </c>
      <c r="CD36" s="23"/>
      <c r="CE36" s="19">
        <f t="shared" ref="CE36:CE39" si="46">SUM(CF36:CJ36)</f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f>SUM(CL36:CN36)</f>
        <v>0</v>
      </c>
      <c r="CL36" s="19">
        <v>0</v>
      </c>
      <c r="CM36" s="19">
        <v>0</v>
      </c>
      <c r="CN36" s="19"/>
      <c r="CO36" s="19">
        <v>0</v>
      </c>
      <c r="CP36" s="75"/>
      <c r="CQ36" s="75"/>
      <c r="CR36" s="75"/>
      <c r="CS36" s="19">
        <f t="shared" si="11"/>
        <v>0</v>
      </c>
      <c r="CT36" s="19">
        <f t="shared" si="12"/>
        <v>0</v>
      </c>
      <c r="CU36" s="19">
        <v>0</v>
      </c>
      <c r="CV36" s="20">
        <v>0</v>
      </c>
      <c r="CW36" s="52"/>
    </row>
    <row r="37" spans="1:101" ht="15.6" x14ac:dyDescent="0.3">
      <c r="A37" s="105" t="s">
        <v>1</v>
      </c>
      <c r="B37" s="21" t="s">
        <v>54</v>
      </c>
      <c r="C37" s="22" t="s">
        <v>326</v>
      </c>
      <c r="D37" s="19">
        <f>SUM(E37+BZ37+CS37)</f>
        <v>1606186</v>
      </c>
      <c r="E37" s="19">
        <f>SUM(F37+BA37)</f>
        <v>1448486</v>
      </c>
      <c r="F37" s="19">
        <f>SUM(G37+H37+I37+P37+S37+T37+U37+AE37+AD37)</f>
        <v>1448486</v>
      </c>
      <c r="G37" s="23">
        <v>1018800</v>
      </c>
      <c r="H37" s="23">
        <v>254700</v>
      </c>
      <c r="I37" s="19">
        <f t="shared" si="7"/>
        <v>57844</v>
      </c>
      <c r="J37" s="19">
        <v>0</v>
      </c>
      <c r="K37" s="19">
        <v>0</v>
      </c>
      <c r="L37" s="19">
        <v>0</v>
      </c>
      <c r="M37" s="19">
        <v>0</v>
      </c>
      <c r="N37" s="23">
        <v>19788</v>
      </c>
      <c r="O37" s="23">
        <v>38056</v>
      </c>
      <c r="P37" s="19">
        <f t="shared" si="8"/>
        <v>0</v>
      </c>
      <c r="Q37" s="23">
        <v>0</v>
      </c>
      <c r="R37" s="23">
        <v>0</v>
      </c>
      <c r="S37" s="23">
        <v>0</v>
      </c>
      <c r="T37" s="23">
        <v>10609</v>
      </c>
      <c r="U37" s="19">
        <f t="shared" si="44"/>
        <v>6948</v>
      </c>
      <c r="V37" s="23">
        <v>3130</v>
      </c>
      <c r="W37" s="23">
        <v>2166</v>
      </c>
      <c r="X37" s="23">
        <v>1652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19">
        <v>0</v>
      </c>
      <c r="AE37" s="19">
        <f>SUM(AF37:AZ37)</f>
        <v>99585</v>
      </c>
      <c r="AF37" s="19">
        <v>0</v>
      </c>
      <c r="AG37" s="19">
        <v>0</v>
      </c>
      <c r="AH37" s="23">
        <v>2785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96800</v>
      </c>
      <c r="BA37" s="19">
        <f t="shared" si="45"/>
        <v>0</v>
      </c>
      <c r="BB37" s="19">
        <f>SUM(BC37:BE37)</f>
        <v>0</v>
      </c>
      <c r="BC37" s="19">
        <v>0</v>
      </c>
      <c r="BD37" s="19">
        <v>0</v>
      </c>
      <c r="BE37" s="19">
        <v>0</v>
      </c>
      <c r="BF37" s="19">
        <f>SUM(BH37:BH37)</f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f t="shared" si="9"/>
        <v>0</v>
      </c>
      <c r="BL37" s="19">
        <v>0</v>
      </c>
      <c r="BM37" s="19">
        <v>0</v>
      </c>
      <c r="BN37" s="19">
        <f>SUM(BO37:BY37)</f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23">
        <v>0</v>
      </c>
      <c r="BY37" s="19">
        <v>0</v>
      </c>
      <c r="BZ37" s="19">
        <f>SUM(CA37+CO37)</f>
        <v>157700</v>
      </c>
      <c r="CA37" s="19">
        <f>SUM(CB37+CE37+CK37)</f>
        <v>157700</v>
      </c>
      <c r="CB37" s="19">
        <f t="shared" si="10"/>
        <v>157700</v>
      </c>
      <c r="CC37" s="19">
        <v>0</v>
      </c>
      <c r="CD37" s="23">
        <v>157700</v>
      </c>
      <c r="CE37" s="19">
        <f t="shared" si="46"/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f>SUM(CL37:CN37)</f>
        <v>0</v>
      </c>
      <c r="CL37" s="19">
        <v>0</v>
      </c>
      <c r="CM37" s="19">
        <v>0</v>
      </c>
      <c r="CN37" s="19"/>
      <c r="CO37" s="19">
        <v>0</v>
      </c>
      <c r="CP37" s="75"/>
      <c r="CQ37" s="75"/>
      <c r="CR37" s="75"/>
      <c r="CS37" s="19">
        <f t="shared" si="11"/>
        <v>0</v>
      </c>
      <c r="CT37" s="19">
        <f t="shared" si="12"/>
        <v>0</v>
      </c>
      <c r="CU37" s="19">
        <v>0</v>
      </c>
      <c r="CV37" s="20">
        <v>0</v>
      </c>
      <c r="CW37" s="52"/>
    </row>
    <row r="38" spans="1:101" ht="15.6" x14ac:dyDescent="0.3">
      <c r="A38" s="105" t="s">
        <v>1</v>
      </c>
      <c r="B38" s="21" t="s">
        <v>62</v>
      </c>
      <c r="C38" s="22" t="s">
        <v>461</v>
      </c>
      <c r="D38" s="19">
        <f>SUM(E38+BZ38+CS38)</f>
        <v>10108940</v>
      </c>
      <c r="E38" s="19">
        <f>SUM(F38+BA38)</f>
        <v>10068994</v>
      </c>
      <c r="F38" s="19">
        <f>SUM(G38+H38+I38+P38+S38+T38+U38+AE38+AD38)</f>
        <v>10066310</v>
      </c>
      <c r="G38" s="23">
        <v>7390621</v>
      </c>
      <c r="H38" s="23">
        <v>1773543</v>
      </c>
      <c r="I38" s="19">
        <f t="shared" si="7"/>
        <v>323037</v>
      </c>
      <c r="J38" s="19">
        <v>0</v>
      </c>
      <c r="K38" s="19">
        <v>0</v>
      </c>
      <c r="L38" s="19">
        <v>0</v>
      </c>
      <c r="M38" s="19">
        <v>0</v>
      </c>
      <c r="N38" s="23">
        <v>96863</v>
      </c>
      <c r="O38" s="23">
        <v>226174</v>
      </c>
      <c r="P38" s="19">
        <f t="shared" si="8"/>
        <v>0</v>
      </c>
      <c r="Q38" s="23">
        <v>0</v>
      </c>
      <c r="R38" s="23">
        <v>0</v>
      </c>
      <c r="S38" s="23">
        <v>0</v>
      </c>
      <c r="T38" s="23">
        <v>137832</v>
      </c>
      <c r="U38" s="19">
        <f t="shared" si="44"/>
        <v>233457</v>
      </c>
      <c r="V38" s="23">
        <v>56966</v>
      </c>
      <c r="W38" s="23">
        <v>54429</v>
      </c>
      <c r="X38" s="23">
        <v>67733</v>
      </c>
      <c r="Y38" s="23">
        <v>14774</v>
      </c>
      <c r="Z38" s="23">
        <v>6607</v>
      </c>
      <c r="AA38" s="23">
        <v>20701</v>
      </c>
      <c r="AB38" s="23">
        <v>0</v>
      </c>
      <c r="AC38" s="23">
        <v>12247</v>
      </c>
      <c r="AD38" s="19">
        <v>0</v>
      </c>
      <c r="AE38" s="19">
        <f>SUM(AF38:AZ38)</f>
        <v>207820</v>
      </c>
      <c r="AF38" s="19">
        <v>0</v>
      </c>
      <c r="AG38" s="19">
        <v>0</v>
      </c>
      <c r="AH38" s="23">
        <v>31272</v>
      </c>
      <c r="AI38" s="23">
        <v>38382</v>
      </c>
      <c r="AJ38" s="23">
        <v>0</v>
      </c>
      <c r="AK38" s="23">
        <v>7681</v>
      </c>
      <c r="AL38" s="23">
        <v>265</v>
      </c>
      <c r="AM38" s="23">
        <v>0</v>
      </c>
      <c r="AN38" s="23">
        <v>14630</v>
      </c>
      <c r="AO38" s="23">
        <v>7566</v>
      </c>
      <c r="AP38" s="23">
        <v>365</v>
      </c>
      <c r="AQ38" s="23">
        <v>0</v>
      </c>
      <c r="AR38" s="23">
        <v>46934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v>5165</v>
      </c>
      <c r="AY38" s="23">
        <v>0</v>
      </c>
      <c r="AZ38" s="23">
        <v>55560</v>
      </c>
      <c r="BA38" s="19">
        <f>SUM(BB38+BF38+BI38+BK38+BN38)</f>
        <v>2684</v>
      </c>
      <c r="BB38" s="19">
        <f>SUM(BC38:BE38)</f>
        <v>0</v>
      </c>
      <c r="BC38" s="19">
        <v>0</v>
      </c>
      <c r="BD38" s="19">
        <v>0</v>
      </c>
      <c r="BE38" s="19">
        <v>0</v>
      </c>
      <c r="BF38" s="19">
        <f>SUM(BH38:BH38)</f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f t="shared" si="9"/>
        <v>0</v>
      </c>
      <c r="BL38" s="19">
        <v>0</v>
      </c>
      <c r="BM38" s="19">
        <v>0</v>
      </c>
      <c r="BN38" s="19">
        <f>SUM(BO38:BY38)</f>
        <v>2684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23">
        <v>2684</v>
      </c>
      <c r="BY38" s="19">
        <v>0</v>
      </c>
      <c r="BZ38" s="19">
        <f>SUM(CA38+CO38)</f>
        <v>39946</v>
      </c>
      <c r="CA38" s="19">
        <f>SUM(CB38+CE38+CK38)</f>
        <v>39946</v>
      </c>
      <c r="CB38" s="19">
        <f t="shared" si="10"/>
        <v>39946</v>
      </c>
      <c r="CC38" s="19">
        <v>0</v>
      </c>
      <c r="CD38" s="23">
        <v>39946</v>
      </c>
      <c r="CE38" s="19">
        <f t="shared" si="46"/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f>SUM(CL38:CN38)</f>
        <v>0</v>
      </c>
      <c r="CL38" s="19">
        <v>0</v>
      </c>
      <c r="CM38" s="19">
        <v>0</v>
      </c>
      <c r="CN38" s="19"/>
      <c r="CO38" s="19">
        <v>0</v>
      </c>
      <c r="CP38" s="75"/>
      <c r="CQ38" s="75"/>
      <c r="CR38" s="75"/>
      <c r="CS38" s="19">
        <f t="shared" si="11"/>
        <v>0</v>
      </c>
      <c r="CT38" s="19">
        <f t="shared" si="12"/>
        <v>0</v>
      </c>
      <c r="CU38" s="19">
        <v>0</v>
      </c>
      <c r="CV38" s="20">
        <v>0</v>
      </c>
      <c r="CW38" s="52"/>
    </row>
    <row r="39" spans="1:101" ht="31.2" x14ac:dyDescent="0.3">
      <c r="A39" s="105" t="s">
        <v>1</v>
      </c>
      <c r="B39" s="21" t="s">
        <v>66</v>
      </c>
      <c r="C39" s="22" t="s">
        <v>83</v>
      </c>
      <c r="D39" s="19">
        <f>SUM(E39+BZ39+CS39)</f>
        <v>5248862</v>
      </c>
      <c r="E39" s="19">
        <f>SUM(F39+BA39)</f>
        <v>5228862</v>
      </c>
      <c r="F39" s="19">
        <f>SUM(G39+H39+I39+P39+S39+T39+U39+AE39+AD39)</f>
        <v>5228862</v>
      </c>
      <c r="G39" s="23">
        <v>3734727</v>
      </c>
      <c r="H39" s="23">
        <v>929779</v>
      </c>
      <c r="I39" s="19">
        <f t="shared" si="7"/>
        <v>258757</v>
      </c>
      <c r="J39" s="19">
        <v>0</v>
      </c>
      <c r="K39" s="19">
        <v>0</v>
      </c>
      <c r="L39" s="19">
        <v>0</v>
      </c>
      <c r="M39" s="19">
        <v>0</v>
      </c>
      <c r="N39" s="23">
        <v>170162</v>
      </c>
      <c r="O39" s="23">
        <v>88595</v>
      </c>
      <c r="P39" s="19">
        <f t="shared" si="8"/>
        <v>0</v>
      </c>
      <c r="Q39" s="23">
        <v>0</v>
      </c>
      <c r="R39" s="23">
        <v>0</v>
      </c>
      <c r="S39" s="23">
        <v>0</v>
      </c>
      <c r="T39" s="23">
        <v>86429</v>
      </c>
      <c r="U39" s="19">
        <f t="shared" si="44"/>
        <v>104851</v>
      </c>
      <c r="V39" s="23">
        <v>0</v>
      </c>
      <c r="W39" s="23">
        <v>37390</v>
      </c>
      <c r="X39" s="23">
        <v>16949</v>
      </c>
      <c r="Y39" s="23">
        <v>5198</v>
      </c>
      <c r="Z39" s="23">
        <v>6730</v>
      </c>
      <c r="AA39" s="23">
        <v>37500</v>
      </c>
      <c r="AB39" s="23">
        <v>0</v>
      </c>
      <c r="AC39" s="23">
        <v>1084</v>
      </c>
      <c r="AD39" s="19">
        <v>0</v>
      </c>
      <c r="AE39" s="19">
        <f>SUM(AF39:AZ39)</f>
        <v>114319</v>
      </c>
      <c r="AF39" s="19">
        <v>0</v>
      </c>
      <c r="AG39" s="19">
        <v>0</v>
      </c>
      <c r="AH39" s="23">
        <v>10000</v>
      </c>
      <c r="AI39" s="23">
        <v>0</v>
      </c>
      <c r="AJ39" s="23">
        <v>0</v>
      </c>
      <c r="AK39" s="23">
        <v>517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25209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70000</v>
      </c>
      <c r="AY39" s="23">
        <v>0</v>
      </c>
      <c r="AZ39" s="23">
        <v>8593</v>
      </c>
      <c r="BA39" s="19">
        <f t="shared" si="45"/>
        <v>0</v>
      </c>
      <c r="BB39" s="19">
        <f>SUM(BC39:BE39)</f>
        <v>0</v>
      </c>
      <c r="BC39" s="19">
        <v>0</v>
      </c>
      <c r="BD39" s="19">
        <v>0</v>
      </c>
      <c r="BE39" s="19">
        <v>0</v>
      </c>
      <c r="BF39" s="19">
        <f>SUM(BH39:BH39)</f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f t="shared" si="9"/>
        <v>0</v>
      </c>
      <c r="BL39" s="19">
        <v>0</v>
      </c>
      <c r="BM39" s="19">
        <v>0</v>
      </c>
      <c r="BN39" s="19">
        <f>SUM(BO39:BY39)</f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23">
        <v>0</v>
      </c>
      <c r="BY39" s="19">
        <v>0</v>
      </c>
      <c r="BZ39" s="19">
        <f>SUM(CA39+CO39)</f>
        <v>20000</v>
      </c>
      <c r="CA39" s="19">
        <f>SUM(CB39+CE39+CK39)</f>
        <v>20000</v>
      </c>
      <c r="CB39" s="19">
        <f t="shared" si="10"/>
        <v>20000</v>
      </c>
      <c r="CC39" s="19">
        <v>0</v>
      </c>
      <c r="CD39" s="23">
        <v>20000</v>
      </c>
      <c r="CE39" s="19">
        <f t="shared" si="46"/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f>SUM(CL39:CN39)</f>
        <v>0</v>
      </c>
      <c r="CL39" s="19">
        <v>0</v>
      </c>
      <c r="CM39" s="19">
        <v>0</v>
      </c>
      <c r="CN39" s="19"/>
      <c r="CO39" s="19">
        <v>0</v>
      </c>
      <c r="CP39" s="75"/>
      <c r="CQ39" s="75"/>
      <c r="CR39" s="75"/>
      <c r="CS39" s="19">
        <f t="shared" si="11"/>
        <v>0</v>
      </c>
      <c r="CT39" s="19">
        <f t="shared" si="12"/>
        <v>0</v>
      </c>
      <c r="CU39" s="19">
        <v>0</v>
      </c>
      <c r="CV39" s="20">
        <v>0</v>
      </c>
      <c r="CW39" s="52"/>
    </row>
    <row r="40" spans="1:101" s="58" customFormat="1" ht="15.6" x14ac:dyDescent="0.3">
      <c r="A40" s="104" t="s">
        <v>84</v>
      </c>
      <c r="B40" s="16" t="s">
        <v>1</v>
      </c>
      <c r="C40" s="17" t="s">
        <v>85</v>
      </c>
      <c r="D40" s="18">
        <f t="shared" ref="D40:AX40" si="47">SUM(D41:D41)</f>
        <v>4559803</v>
      </c>
      <c r="E40" s="18">
        <f t="shared" si="47"/>
        <v>4529096</v>
      </c>
      <c r="F40" s="18">
        <f t="shared" si="47"/>
        <v>4529096</v>
      </c>
      <c r="G40" s="18">
        <f t="shared" si="47"/>
        <v>3520240</v>
      </c>
      <c r="H40" s="18">
        <f t="shared" si="47"/>
        <v>843705</v>
      </c>
      <c r="I40" s="18">
        <f t="shared" si="47"/>
        <v>46840</v>
      </c>
      <c r="J40" s="18">
        <f t="shared" si="47"/>
        <v>0</v>
      </c>
      <c r="K40" s="18">
        <f t="shared" si="47"/>
        <v>0</v>
      </c>
      <c r="L40" s="18">
        <f t="shared" si="47"/>
        <v>0</v>
      </c>
      <c r="M40" s="18">
        <f t="shared" si="47"/>
        <v>0</v>
      </c>
      <c r="N40" s="18">
        <f t="shared" si="47"/>
        <v>0</v>
      </c>
      <c r="O40" s="18">
        <f t="shared" si="47"/>
        <v>46840</v>
      </c>
      <c r="P40" s="18">
        <f t="shared" si="47"/>
        <v>0</v>
      </c>
      <c r="Q40" s="18">
        <f t="shared" si="47"/>
        <v>0</v>
      </c>
      <c r="R40" s="18">
        <f t="shared" si="47"/>
        <v>0</v>
      </c>
      <c r="S40" s="18">
        <f t="shared" si="47"/>
        <v>0</v>
      </c>
      <c r="T40" s="18">
        <f t="shared" si="47"/>
        <v>41486</v>
      </c>
      <c r="U40" s="18">
        <f t="shared" si="47"/>
        <v>53905</v>
      </c>
      <c r="V40" s="18">
        <f t="shared" si="47"/>
        <v>8183</v>
      </c>
      <c r="W40" s="18">
        <f t="shared" si="47"/>
        <v>19263</v>
      </c>
      <c r="X40" s="18">
        <f t="shared" si="47"/>
        <v>11403</v>
      </c>
      <c r="Y40" s="18">
        <f t="shared" si="47"/>
        <v>3788</v>
      </c>
      <c r="Z40" s="18">
        <f t="shared" si="47"/>
        <v>271</v>
      </c>
      <c r="AA40" s="18">
        <f t="shared" si="47"/>
        <v>10997</v>
      </c>
      <c r="AB40" s="18">
        <f t="shared" si="47"/>
        <v>0</v>
      </c>
      <c r="AC40" s="18">
        <f t="shared" si="47"/>
        <v>0</v>
      </c>
      <c r="AD40" s="18">
        <f t="shared" si="47"/>
        <v>0</v>
      </c>
      <c r="AE40" s="18">
        <f t="shared" si="47"/>
        <v>22920</v>
      </c>
      <c r="AF40" s="18">
        <f t="shared" si="47"/>
        <v>0</v>
      </c>
      <c r="AG40" s="18">
        <f t="shared" si="47"/>
        <v>0</v>
      </c>
      <c r="AH40" s="18">
        <f t="shared" si="47"/>
        <v>2971</v>
      </c>
      <c r="AI40" s="18">
        <f t="shared" si="47"/>
        <v>19949</v>
      </c>
      <c r="AJ40" s="18">
        <f t="shared" si="47"/>
        <v>0</v>
      </c>
      <c r="AK40" s="18">
        <f t="shared" si="47"/>
        <v>0</v>
      </c>
      <c r="AL40" s="18">
        <f t="shared" si="47"/>
        <v>0</v>
      </c>
      <c r="AM40" s="18">
        <f t="shared" si="47"/>
        <v>0</v>
      </c>
      <c r="AN40" s="18">
        <f t="shared" si="47"/>
        <v>0</v>
      </c>
      <c r="AO40" s="18">
        <f t="shared" si="47"/>
        <v>0</v>
      </c>
      <c r="AP40" s="18">
        <f t="shared" si="47"/>
        <v>0</v>
      </c>
      <c r="AQ40" s="18">
        <f t="shared" si="47"/>
        <v>0</v>
      </c>
      <c r="AR40" s="18">
        <f t="shared" si="47"/>
        <v>0</v>
      </c>
      <c r="AS40" s="18">
        <f t="shared" si="47"/>
        <v>0</v>
      </c>
      <c r="AT40" s="18">
        <f t="shared" si="47"/>
        <v>0</v>
      </c>
      <c r="AU40" s="18">
        <f t="shared" si="47"/>
        <v>0</v>
      </c>
      <c r="AV40" s="18">
        <f t="shared" si="47"/>
        <v>0</v>
      </c>
      <c r="AW40" s="18">
        <f t="shared" si="47"/>
        <v>0</v>
      </c>
      <c r="AX40" s="18">
        <f t="shared" si="47"/>
        <v>0</v>
      </c>
      <c r="AY40" s="18"/>
      <c r="AZ40" s="18">
        <f t="shared" ref="AZ40:CV40" si="48">SUM(AZ41:AZ41)</f>
        <v>0</v>
      </c>
      <c r="BA40" s="18">
        <f t="shared" si="48"/>
        <v>0</v>
      </c>
      <c r="BB40" s="18">
        <f t="shared" si="48"/>
        <v>0</v>
      </c>
      <c r="BC40" s="18">
        <f t="shared" si="48"/>
        <v>0</v>
      </c>
      <c r="BD40" s="18">
        <f t="shared" si="48"/>
        <v>0</v>
      </c>
      <c r="BE40" s="18">
        <f t="shared" si="48"/>
        <v>0</v>
      </c>
      <c r="BF40" s="18">
        <f t="shared" si="48"/>
        <v>0</v>
      </c>
      <c r="BG40" s="18">
        <f t="shared" si="48"/>
        <v>0</v>
      </c>
      <c r="BH40" s="18">
        <f t="shared" si="48"/>
        <v>0</v>
      </c>
      <c r="BI40" s="18">
        <f t="shared" si="48"/>
        <v>0</v>
      </c>
      <c r="BJ40" s="18">
        <f t="shared" si="48"/>
        <v>0</v>
      </c>
      <c r="BK40" s="18">
        <f t="shared" si="48"/>
        <v>0</v>
      </c>
      <c r="BL40" s="18">
        <f t="shared" si="48"/>
        <v>0</v>
      </c>
      <c r="BM40" s="18">
        <f t="shared" si="48"/>
        <v>0</v>
      </c>
      <c r="BN40" s="18">
        <f t="shared" si="48"/>
        <v>0</v>
      </c>
      <c r="BO40" s="18">
        <f t="shared" si="48"/>
        <v>0</v>
      </c>
      <c r="BP40" s="18">
        <f t="shared" si="48"/>
        <v>0</v>
      </c>
      <c r="BQ40" s="18">
        <f t="shared" si="48"/>
        <v>0</v>
      </c>
      <c r="BR40" s="18">
        <f t="shared" si="48"/>
        <v>0</v>
      </c>
      <c r="BS40" s="18">
        <f t="shared" si="48"/>
        <v>0</v>
      </c>
      <c r="BT40" s="18">
        <f t="shared" si="48"/>
        <v>0</v>
      </c>
      <c r="BU40" s="18">
        <f t="shared" si="48"/>
        <v>0</v>
      </c>
      <c r="BV40" s="18">
        <f t="shared" si="48"/>
        <v>0</v>
      </c>
      <c r="BW40" s="18">
        <f t="shared" si="48"/>
        <v>0</v>
      </c>
      <c r="BX40" s="18">
        <f t="shared" si="48"/>
        <v>0</v>
      </c>
      <c r="BY40" s="18">
        <f t="shared" si="48"/>
        <v>0</v>
      </c>
      <c r="BZ40" s="18">
        <f t="shared" si="48"/>
        <v>30707</v>
      </c>
      <c r="CA40" s="18">
        <f t="shared" si="48"/>
        <v>30707</v>
      </c>
      <c r="CB40" s="18">
        <f t="shared" si="48"/>
        <v>30707</v>
      </c>
      <c r="CC40" s="18">
        <f t="shared" si="48"/>
        <v>0</v>
      </c>
      <c r="CD40" s="18">
        <f t="shared" si="48"/>
        <v>30707</v>
      </c>
      <c r="CE40" s="18">
        <f t="shared" si="48"/>
        <v>0</v>
      </c>
      <c r="CF40" s="18">
        <f t="shared" si="48"/>
        <v>0</v>
      </c>
      <c r="CG40" s="18">
        <f t="shared" si="48"/>
        <v>0</v>
      </c>
      <c r="CH40" s="18">
        <f t="shared" si="48"/>
        <v>0</v>
      </c>
      <c r="CI40" s="18">
        <f t="shared" si="48"/>
        <v>0</v>
      </c>
      <c r="CJ40" s="18">
        <f t="shared" si="48"/>
        <v>0</v>
      </c>
      <c r="CK40" s="18">
        <f t="shared" si="48"/>
        <v>0</v>
      </c>
      <c r="CL40" s="18">
        <f t="shared" si="48"/>
        <v>0</v>
      </c>
      <c r="CM40" s="18">
        <f t="shared" si="48"/>
        <v>0</v>
      </c>
      <c r="CN40" s="18">
        <f t="shared" si="48"/>
        <v>0</v>
      </c>
      <c r="CO40" s="18">
        <f t="shared" si="48"/>
        <v>0</v>
      </c>
      <c r="CP40" s="74"/>
      <c r="CQ40" s="74"/>
      <c r="CR40" s="74"/>
      <c r="CS40" s="18">
        <f t="shared" si="48"/>
        <v>0</v>
      </c>
      <c r="CT40" s="18">
        <f t="shared" si="48"/>
        <v>0</v>
      </c>
      <c r="CU40" s="18">
        <f t="shared" si="48"/>
        <v>0</v>
      </c>
      <c r="CV40" s="46">
        <f t="shared" si="48"/>
        <v>0</v>
      </c>
      <c r="CW40" s="57"/>
    </row>
    <row r="41" spans="1:101" ht="31.2" x14ac:dyDescent="0.3">
      <c r="A41" s="105" t="s">
        <v>1</v>
      </c>
      <c r="B41" s="21" t="s">
        <v>54</v>
      </c>
      <c r="C41" s="22" t="s">
        <v>608</v>
      </c>
      <c r="D41" s="19">
        <f>SUM(E41+BZ41+CS41)</f>
        <v>4559803</v>
      </c>
      <c r="E41" s="19">
        <f>SUM(F41+BA41)</f>
        <v>4529096</v>
      </c>
      <c r="F41" s="19">
        <f>SUM(G41+H41+I41+P41+S41+T41+U41+AE41+AD41)</f>
        <v>4529096</v>
      </c>
      <c r="G41" s="23">
        <v>3520240</v>
      </c>
      <c r="H41" s="23">
        <v>843705</v>
      </c>
      <c r="I41" s="19">
        <f t="shared" ref="I41" si="49">SUM(J41:O41)</f>
        <v>46840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23">
        <v>46840</v>
      </c>
      <c r="P41" s="19">
        <f t="shared" ref="P41" si="50">SUM(Q41:R41)</f>
        <v>0</v>
      </c>
      <c r="Q41" s="19"/>
      <c r="R41" s="19">
        <v>0</v>
      </c>
      <c r="S41" s="19">
        <v>0</v>
      </c>
      <c r="T41" s="23">
        <v>41486</v>
      </c>
      <c r="U41" s="19">
        <f>SUM(V41:AC41)</f>
        <v>53905</v>
      </c>
      <c r="V41" s="23">
        <v>8183</v>
      </c>
      <c r="W41" s="23">
        <v>19263</v>
      </c>
      <c r="X41" s="23">
        <v>11403</v>
      </c>
      <c r="Y41" s="23">
        <v>3788</v>
      </c>
      <c r="Z41" s="23">
        <v>271</v>
      </c>
      <c r="AA41" s="23">
        <v>10997</v>
      </c>
      <c r="AB41" s="23">
        <v>0</v>
      </c>
      <c r="AC41" s="23">
        <v>0</v>
      </c>
      <c r="AD41" s="19">
        <v>0</v>
      </c>
      <c r="AE41" s="19">
        <f>SUM(AF41:AZ41)</f>
        <v>22920</v>
      </c>
      <c r="AF41" s="19">
        <v>0</v>
      </c>
      <c r="AG41" s="19">
        <v>0</v>
      </c>
      <c r="AH41" s="23">
        <v>2971</v>
      </c>
      <c r="AI41" s="23">
        <v>19949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19">
        <f>SUM(BB41+BF41+BI41+BK41+BN41)</f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ref="BK41" si="51">SUM(BL41)</f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f>SUM(CA41+CO41)</f>
        <v>30707</v>
      </c>
      <c r="CA41" s="19">
        <f>SUM(CB41+CE41+CK41)</f>
        <v>30707</v>
      </c>
      <c r="CB41" s="19">
        <f t="shared" ref="CB41" si="52">SUM(CC41:CD41)</f>
        <v>30707</v>
      </c>
      <c r="CC41" s="19">
        <v>0</v>
      </c>
      <c r="CD41" s="23">
        <v>30707</v>
      </c>
      <c r="CE41" s="19">
        <f>SUM(CF41:CJ41)</f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SUM(CL41:CN41)</f>
        <v>0</v>
      </c>
      <c r="CL41" s="19">
        <v>0</v>
      </c>
      <c r="CM41" s="19">
        <v>0</v>
      </c>
      <c r="CN41" s="19"/>
      <c r="CO41" s="19">
        <v>0</v>
      </c>
      <c r="CP41" s="75"/>
      <c r="CQ41" s="75"/>
      <c r="CR41" s="75"/>
      <c r="CS41" s="19">
        <f t="shared" ref="CS41" si="53">SUM(CT41)</f>
        <v>0</v>
      </c>
      <c r="CT41" s="19">
        <f t="shared" ref="CT41" si="54">SUM(CU41:CV41)</f>
        <v>0</v>
      </c>
      <c r="CU41" s="19">
        <v>0</v>
      </c>
      <c r="CV41" s="20">
        <v>0</v>
      </c>
      <c r="CW41" s="52"/>
    </row>
    <row r="42" spans="1:101" s="58" customFormat="1" ht="15.6" x14ac:dyDescent="0.3">
      <c r="A42" s="104" t="s">
        <v>86</v>
      </c>
      <c r="B42" s="16" t="s">
        <v>1</v>
      </c>
      <c r="C42" s="17" t="s">
        <v>87</v>
      </c>
      <c r="D42" s="18">
        <f t="shared" ref="D42:AK42" si="55">SUM(D43)</f>
        <v>14722351</v>
      </c>
      <c r="E42" s="18">
        <f t="shared" si="55"/>
        <v>14697351</v>
      </c>
      <c r="F42" s="18">
        <f t="shared" si="55"/>
        <v>14679715</v>
      </c>
      <c r="G42" s="18">
        <f t="shared" si="55"/>
        <v>9725042</v>
      </c>
      <c r="H42" s="18">
        <f t="shared" si="55"/>
        <v>2324375</v>
      </c>
      <c r="I42" s="18">
        <f t="shared" si="55"/>
        <v>620528</v>
      </c>
      <c r="J42" s="18">
        <f t="shared" si="55"/>
        <v>0</v>
      </c>
      <c r="K42" s="18">
        <f t="shared" si="55"/>
        <v>0</v>
      </c>
      <c r="L42" s="18">
        <f t="shared" si="55"/>
        <v>0</v>
      </c>
      <c r="M42" s="18">
        <f t="shared" si="55"/>
        <v>0</v>
      </c>
      <c r="N42" s="18">
        <f t="shared" si="55"/>
        <v>320000</v>
      </c>
      <c r="O42" s="18">
        <f t="shared" si="55"/>
        <v>300528</v>
      </c>
      <c r="P42" s="18">
        <f t="shared" si="55"/>
        <v>25000</v>
      </c>
      <c r="Q42" s="18">
        <f t="shared" si="55"/>
        <v>0</v>
      </c>
      <c r="R42" s="18">
        <f t="shared" si="55"/>
        <v>25000</v>
      </c>
      <c r="S42" s="18">
        <f t="shared" si="55"/>
        <v>0</v>
      </c>
      <c r="T42" s="18">
        <f t="shared" si="55"/>
        <v>265028</v>
      </c>
      <c r="U42" s="18">
        <f t="shared" si="55"/>
        <v>560891</v>
      </c>
      <c r="V42" s="18">
        <f t="shared" si="55"/>
        <v>109851</v>
      </c>
      <c r="W42" s="18">
        <f t="shared" si="55"/>
        <v>235894</v>
      </c>
      <c r="X42" s="18">
        <f t="shared" si="55"/>
        <v>153290</v>
      </c>
      <c r="Y42" s="18">
        <f t="shared" si="55"/>
        <v>45200</v>
      </c>
      <c r="Z42" s="18">
        <f t="shared" si="55"/>
        <v>16656</v>
      </c>
      <c r="AA42" s="18">
        <f t="shared" si="55"/>
        <v>0</v>
      </c>
      <c r="AB42" s="18">
        <f t="shared" si="55"/>
        <v>0</v>
      </c>
      <c r="AC42" s="18">
        <f t="shared" si="55"/>
        <v>0</v>
      </c>
      <c r="AD42" s="18">
        <f t="shared" si="55"/>
        <v>0</v>
      </c>
      <c r="AE42" s="18">
        <f t="shared" si="55"/>
        <v>1158851</v>
      </c>
      <c r="AF42" s="18">
        <f t="shared" si="55"/>
        <v>0</v>
      </c>
      <c r="AG42" s="18">
        <f t="shared" si="55"/>
        <v>0</v>
      </c>
      <c r="AH42" s="18">
        <f t="shared" si="55"/>
        <v>27184</v>
      </c>
      <c r="AI42" s="18">
        <f t="shared" si="55"/>
        <v>375000</v>
      </c>
      <c r="AJ42" s="18">
        <f t="shared" si="55"/>
        <v>0</v>
      </c>
      <c r="AK42" s="18">
        <f t="shared" si="55"/>
        <v>2000</v>
      </c>
      <c r="AL42" s="18">
        <f t="shared" ref="AL42:CV42" si="56">SUM(AL43)</f>
        <v>20166</v>
      </c>
      <c r="AM42" s="18">
        <f t="shared" si="56"/>
        <v>0</v>
      </c>
      <c r="AN42" s="18">
        <f t="shared" si="56"/>
        <v>0</v>
      </c>
      <c r="AO42" s="18">
        <f t="shared" si="56"/>
        <v>298949</v>
      </c>
      <c r="AP42" s="18">
        <f t="shared" si="56"/>
        <v>0</v>
      </c>
      <c r="AQ42" s="18">
        <f t="shared" si="56"/>
        <v>0</v>
      </c>
      <c r="AR42" s="18">
        <f t="shared" si="56"/>
        <v>0</v>
      </c>
      <c r="AS42" s="18">
        <f t="shared" si="56"/>
        <v>13596</v>
      </c>
      <c r="AT42" s="18"/>
      <c r="AU42" s="18"/>
      <c r="AV42" s="18">
        <f t="shared" si="56"/>
        <v>0</v>
      </c>
      <c r="AW42" s="18">
        <f t="shared" si="56"/>
        <v>0</v>
      </c>
      <c r="AX42" s="18">
        <f t="shared" si="56"/>
        <v>71088</v>
      </c>
      <c r="AY42" s="18">
        <f t="shared" si="56"/>
        <v>340868</v>
      </c>
      <c r="AZ42" s="18">
        <f t="shared" si="56"/>
        <v>10000</v>
      </c>
      <c r="BA42" s="18">
        <f t="shared" si="56"/>
        <v>17636</v>
      </c>
      <c r="BB42" s="18">
        <f t="shared" si="56"/>
        <v>0</v>
      </c>
      <c r="BC42" s="18">
        <f t="shared" si="56"/>
        <v>0</v>
      </c>
      <c r="BD42" s="18">
        <f t="shared" si="56"/>
        <v>0</v>
      </c>
      <c r="BE42" s="18">
        <f t="shared" si="56"/>
        <v>0</v>
      </c>
      <c r="BF42" s="18">
        <f t="shared" si="56"/>
        <v>0</v>
      </c>
      <c r="BG42" s="18">
        <f t="shared" si="56"/>
        <v>0</v>
      </c>
      <c r="BH42" s="18">
        <f t="shared" si="56"/>
        <v>0</v>
      </c>
      <c r="BI42" s="18">
        <f t="shared" si="56"/>
        <v>0</v>
      </c>
      <c r="BJ42" s="18">
        <f t="shared" si="56"/>
        <v>0</v>
      </c>
      <c r="BK42" s="18">
        <f t="shared" si="56"/>
        <v>0</v>
      </c>
      <c r="BL42" s="18">
        <f t="shared" si="56"/>
        <v>0</v>
      </c>
      <c r="BM42" s="18">
        <f t="shared" si="56"/>
        <v>0</v>
      </c>
      <c r="BN42" s="18">
        <f t="shared" si="56"/>
        <v>17636</v>
      </c>
      <c r="BO42" s="18">
        <f t="shared" si="56"/>
        <v>0</v>
      </c>
      <c r="BP42" s="18">
        <f t="shared" si="56"/>
        <v>0</v>
      </c>
      <c r="BQ42" s="18">
        <f t="shared" si="56"/>
        <v>0</v>
      </c>
      <c r="BR42" s="18">
        <f t="shared" si="56"/>
        <v>0</v>
      </c>
      <c r="BS42" s="18">
        <f t="shared" si="56"/>
        <v>0</v>
      </c>
      <c r="BT42" s="18">
        <f t="shared" si="56"/>
        <v>0</v>
      </c>
      <c r="BU42" s="18">
        <f t="shared" si="56"/>
        <v>0</v>
      </c>
      <c r="BV42" s="18">
        <f t="shared" si="56"/>
        <v>0</v>
      </c>
      <c r="BW42" s="18">
        <f t="shared" si="56"/>
        <v>0</v>
      </c>
      <c r="BX42" s="18">
        <f t="shared" si="56"/>
        <v>17636</v>
      </c>
      <c r="BY42" s="18">
        <f t="shared" si="56"/>
        <v>0</v>
      </c>
      <c r="BZ42" s="18">
        <f t="shared" si="56"/>
        <v>25000</v>
      </c>
      <c r="CA42" s="18">
        <f t="shared" si="56"/>
        <v>25000</v>
      </c>
      <c r="CB42" s="18">
        <f t="shared" si="56"/>
        <v>25000</v>
      </c>
      <c r="CC42" s="18">
        <f t="shared" si="56"/>
        <v>0</v>
      </c>
      <c r="CD42" s="18">
        <f t="shared" si="56"/>
        <v>25000</v>
      </c>
      <c r="CE42" s="18">
        <f t="shared" si="56"/>
        <v>0</v>
      </c>
      <c r="CF42" s="18">
        <f t="shared" si="56"/>
        <v>0</v>
      </c>
      <c r="CG42" s="18">
        <f t="shared" si="56"/>
        <v>0</v>
      </c>
      <c r="CH42" s="18">
        <f t="shared" si="56"/>
        <v>0</v>
      </c>
      <c r="CI42" s="18">
        <f t="shared" si="56"/>
        <v>0</v>
      </c>
      <c r="CJ42" s="18">
        <f t="shared" si="56"/>
        <v>0</v>
      </c>
      <c r="CK42" s="18">
        <f t="shared" si="56"/>
        <v>0</v>
      </c>
      <c r="CL42" s="18">
        <f t="shared" si="56"/>
        <v>0</v>
      </c>
      <c r="CM42" s="18">
        <f t="shared" si="56"/>
        <v>0</v>
      </c>
      <c r="CN42" s="18"/>
      <c r="CO42" s="18">
        <f t="shared" si="56"/>
        <v>0</v>
      </c>
      <c r="CP42" s="74"/>
      <c r="CQ42" s="74"/>
      <c r="CR42" s="74"/>
      <c r="CS42" s="18">
        <f t="shared" si="56"/>
        <v>0</v>
      </c>
      <c r="CT42" s="18">
        <f t="shared" si="56"/>
        <v>0</v>
      </c>
      <c r="CU42" s="18">
        <f t="shared" si="56"/>
        <v>0</v>
      </c>
      <c r="CV42" s="46">
        <f t="shared" si="56"/>
        <v>0</v>
      </c>
      <c r="CW42" s="57"/>
    </row>
    <row r="43" spans="1:101" ht="15.6" x14ac:dyDescent="0.3">
      <c r="A43" s="105" t="s">
        <v>1</v>
      </c>
      <c r="B43" s="21" t="s">
        <v>88</v>
      </c>
      <c r="C43" s="22" t="s">
        <v>89</v>
      </c>
      <c r="D43" s="19">
        <f>SUM(E43+BZ43+CS43)</f>
        <v>14722351</v>
      </c>
      <c r="E43" s="19">
        <f>SUM(F43+BA43)</f>
        <v>14697351</v>
      </c>
      <c r="F43" s="19">
        <f>SUM(G43+H43+I43+P43+S43+T43+U43+AE43+AD43)</f>
        <v>14679715</v>
      </c>
      <c r="G43" s="23">
        <v>9725042</v>
      </c>
      <c r="H43" s="23">
        <v>2324375</v>
      </c>
      <c r="I43" s="19">
        <f t="shared" si="7"/>
        <v>620528</v>
      </c>
      <c r="J43" s="23"/>
      <c r="K43" s="23">
        <v>0</v>
      </c>
      <c r="L43" s="23">
        <v>0</v>
      </c>
      <c r="M43" s="23">
        <v>0</v>
      </c>
      <c r="N43" s="23">
        <v>320000</v>
      </c>
      <c r="O43" s="23">
        <v>300528</v>
      </c>
      <c r="P43" s="19">
        <f t="shared" si="8"/>
        <v>25000</v>
      </c>
      <c r="Q43" s="23">
        <v>0</v>
      </c>
      <c r="R43" s="23">
        <v>25000</v>
      </c>
      <c r="S43" s="23">
        <v>0</v>
      </c>
      <c r="T43" s="23">
        <v>265028</v>
      </c>
      <c r="U43" s="19">
        <f>SUM(V43:AC43)</f>
        <v>560891</v>
      </c>
      <c r="V43" s="23">
        <v>109851</v>
      </c>
      <c r="W43" s="23">
        <v>235894</v>
      </c>
      <c r="X43" s="23">
        <v>153290</v>
      </c>
      <c r="Y43" s="23">
        <v>45200</v>
      </c>
      <c r="Z43" s="23">
        <v>16656</v>
      </c>
      <c r="AA43" s="23">
        <v>0</v>
      </c>
      <c r="AB43" s="23">
        <v>0</v>
      </c>
      <c r="AC43" s="23">
        <v>0</v>
      </c>
      <c r="AD43" s="23">
        <v>0</v>
      </c>
      <c r="AE43" s="19">
        <f>SUM(AF43:AZ43)</f>
        <v>1158851</v>
      </c>
      <c r="AF43" s="23">
        <v>0</v>
      </c>
      <c r="AG43" s="23">
        <v>0</v>
      </c>
      <c r="AH43" s="23">
        <v>27184</v>
      </c>
      <c r="AI43" s="23">
        <v>375000</v>
      </c>
      <c r="AJ43" s="23">
        <v>0</v>
      </c>
      <c r="AK43" s="23">
        <v>2000</v>
      </c>
      <c r="AL43" s="23">
        <v>20166</v>
      </c>
      <c r="AM43" s="23">
        <v>0</v>
      </c>
      <c r="AN43" s="23">
        <v>0</v>
      </c>
      <c r="AO43" s="23">
        <v>298949</v>
      </c>
      <c r="AP43" s="23">
        <v>0</v>
      </c>
      <c r="AQ43" s="23">
        <v>0</v>
      </c>
      <c r="AR43" s="23">
        <v>0</v>
      </c>
      <c r="AS43" s="23">
        <v>13596</v>
      </c>
      <c r="AT43" s="23">
        <v>0</v>
      </c>
      <c r="AU43" s="23">
        <v>0</v>
      </c>
      <c r="AV43" s="23">
        <v>0</v>
      </c>
      <c r="AW43" s="23">
        <v>0</v>
      </c>
      <c r="AX43" s="23">
        <v>71088</v>
      </c>
      <c r="AY43" s="23">
        <v>340868</v>
      </c>
      <c r="AZ43" s="23">
        <v>10000</v>
      </c>
      <c r="BA43" s="19">
        <f>SUM(BB43+BF43+BI43+BK43+BN43)</f>
        <v>17636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9"/>
        <v>0</v>
      </c>
      <c r="BL43" s="19">
        <v>0</v>
      </c>
      <c r="BM43" s="19">
        <v>0</v>
      </c>
      <c r="BN43" s="19">
        <f>SUM(BO43:BY43)</f>
        <v>17636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17636</v>
      </c>
      <c r="BY43" s="19">
        <v>0</v>
      </c>
      <c r="BZ43" s="19">
        <f>SUM(CA43+CO43)</f>
        <v>25000</v>
      </c>
      <c r="CA43" s="19">
        <f>SUM(CB43+CE43+CK43)</f>
        <v>25000</v>
      </c>
      <c r="CB43" s="19">
        <f t="shared" si="10"/>
        <v>25000</v>
      </c>
      <c r="CC43" s="19">
        <v>0</v>
      </c>
      <c r="CD43" s="23">
        <v>25000</v>
      </c>
      <c r="CE43" s="19">
        <f>SUM(CF43:CJ43)</f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SUM(CL43:CN43)</f>
        <v>0</v>
      </c>
      <c r="CL43" s="19"/>
      <c r="CM43" s="51"/>
      <c r="CN43" s="19"/>
      <c r="CO43" s="19">
        <v>0</v>
      </c>
      <c r="CP43" s="75"/>
      <c r="CQ43" s="75"/>
      <c r="CR43" s="75"/>
      <c r="CS43" s="19">
        <f t="shared" si="11"/>
        <v>0</v>
      </c>
      <c r="CT43" s="19">
        <f t="shared" si="12"/>
        <v>0</v>
      </c>
      <c r="CU43" s="19">
        <v>0</v>
      </c>
      <c r="CV43" s="20">
        <v>0</v>
      </c>
      <c r="CW43" s="52"/>
    </row>
    <row r="44" spans="1:101" s="58" customFormat="1" ht="15.6" x14ac:dyDescent="0.3">
      <c r="A44" s="106" t="s">
        <v>90</v>
      </c>
      <c r="B44" s="25" t="s">
        <v>1</v>
      </c>
      <c r="C44" s="26" t="s">
        <v>91</v>
      </c>
      <c r="D44" s="27">
        <f>SUM(D45+D47+D49+D51+D53)</f>
        <v>58829218</v>
      </c>
      <c r="E44" s="27">
        <f t="shared" ref="E44:BT44" si="57">SUM(E45+E47+E49+E51+E53)</f>
        <v>57898513</v>
      </c>
      <c r="F44" s="27">
        <f t="shared" si="57"/>
        <v>57859022</v>
      </c>
      <c r="G44" s="27">
        <f t="shared" si="57"/>
        <v>47028281</v>
      </c>
      <c r="H44" s="27">
        <f t="shared" si="57"/>
        <v>5711184</v>
      </c>
      <c r="I44" s="27">
        <f t="shared" si="57"/>
        <v>1565760</v>
      </c>
      <c r="J44" s="27">
        <f t="shared" si="57"/>
        <v>0</v>
      </c>
      <c r="K44" s="27">
        <f t="shared" si="57"/>
        <v>0</v>
      </c>
      <c r="L44" s="27">
        <f t="shared" si="57"/>
        <v>0</v>
      </c>
      <c r="M44" s="27">
        <f t="shared" si="57"/>
        <v>0</v>
      </c>
      <c r="N44" s="27">
        <f t="shared" si="57"/>
        <v>1101661</v>
      </c>
      <c r="O44" s="27">
        <f t="shared" si="57"/>
        <v>464099</v>
      </c>
      <c r="P44" s="27">
        <f t="shared" si="57"/>
        <v>9630</v>
      </c>
      <c r="Q44" s="27">
        <f t="shared" si="57"/>
        <v>9630</v>
      </c>
      <c r="R44" s="27">
        <f t="shared" si="57"/>
        <v>0</v>
      </c>
      <c r="S44" s="27">
        <f t="shared" si="57"/>
        <v>0</v>
      </c>
      <c r="T44" s="27">
        <f t="shared" si="57"/>
        <v>447854</v>
      </c>
      <c r="U44" s="27">
        <f t="shared" si="57"/>
        <v>603285</v>
      </c>
      <c r="V44" s="27">
        <f t="shared" si="57"/>
        <v>113359</v>
      </c>
      <c r="W44" s="27">
        <f t="shared" si="57"/>
        <v>148260</v>
      </c>
      <c r="X44" s="27">
        <f t="shared" si="57"/>
        <v>228681</v>
      </c>
      <c r="Y44" s="27">
        <f t="shared" si="57"/>
        <v>47847</v>
      </c>
      <c r="Z44" s="27">
        <f t="shared" si="57"/>
        <v>14990</v>
      </c>
      <c r="AA44" s="27">
        <f t="shared" si="57"/>
        <v>0</v>
      </c>
      <c r="AB44" s="27">
        <f t="shared" si="57"/>
        <v>0</v>
      </c>
      <c r="AC44" s="27">
        <f t="shared" si="57"/>
        <v>50148</v>
      </c>
      <c r="AD44" s="27">
        <f t="shared" si="57"/>
        <v>0</v>
      </c>
      <c r="AE44" s="27">
        <f t="shared" si="57"/>
        <v>2493028</v>
      </c>
      <c r="AF44" s="27">
        <f t="shared" si="57"/>
        <v>0</v>
      </c>
      <c r="AG44" s="27">
        <f t="shared" si="57"/>
        <v>0</v>
      </c>
      <c r="AH44" s="27">
        <f t="shared" si="57"/>
        <v>28690</v>
      </c>
      <c r="AI44" s="27">
        <f t="shared" si="57"/>
        <v>394250</v>
      </c>
      <c r="AJ44" s="27">
        <f t="shared" si="57"/>
        <v>0</v>
      </c>
      <c r="AK44" s="27">
        <f t="shared" si="57"/>
        <v>6750</v>
      </c>
      <c r="AL44" s="27">
        <f t="shared" si="57"/>
        <v>0</v>
      </c>
      <c r="AM44" s="27">
        <f t="shared" si="57"/>
        <v>2887</v>
      </c>
      <c r="AN44" s="27">
        <f t="shared" si="57"/>
        <v>67277</v>
      </c>
      <c r="AO44" s="27">
        <f t="shared" si="57"/>
        <v>166064</v>
      </c>
      <c r="AP44" s="27">
        <f t="shared" si="57"/>
        <v>0</v>
      </c>
      <c r="AQ44" s="27">
        <f t="shared" si="57"/>
        <v>0</v>
      </c>
      <c r="AR44" s="27">
        <f t="shared" si="57"/>
        <v>1074924</v>
      </c>
      <c r="AS44" s="27">
        <f t="shared" si="57"/>
        <v>20137</v>
      </c>
      <c r="AT44" s="27">
        <f t="shared" si="57"/>
        <v>563649</v>
      </c>
      <c r="AU44" s="27"/>
      <c r="AV44" s="27">
        <f t="shared" si="57"/>
        <v>0</v>
      </c>
      <c r="AW44" s="27">
        <f t="shared" si="57"/>
        <v>0</v>
      </c>
      <c r="AX44" s="27">
        <f t="shared" si="57"/>
        <v>62900</v>
      </c>
      <c r="AY44" s="27"/>
      <c r="AZ44" s="27">
        <f t="shared" si="57"/>
        <v>105500</v>
      </c>
      <c r="BA44" s="27">
        <f t="shared" si="57"/>
        <v>39491</v>
      </c>
      <c r="BB44" s="27">
        <f t="shared" si="57"/>
        <v>0</v>
      </c>
      <c r="BC44" s="27">
        <f t="shared" si="57"/>
        <v>0</v>
      </c>
      <c r="BD44" s="27">
        <f t="shared" si="57"/>
        <v>0</v>
      </c>
      <c r="BE44" s="27">
        <f t="shared" si="57"/>
        <v>0</v>
      </c>
      <c r="BF44" s="27">
        <f t="shared" si="57"/>
        <v>0</v>
      </c>
      <c r="BG44" s="27">
        <f t="shared" si="57"/>
        <v>0</v>
      </c>
      <c r="BH44" s="27">
        <f t="shared" si="57"/>
        <v>0</v>
      </c>
      <c r="BI44" s="27">
        <f t="shared" si="57"/>
        <v>0</v>
      </c>
      <c r="BJ44" s="27">
        <f t="shared" ref="BJ44" si="58">SUM(BJ45+BJ47+BJ49+BJ51+BJ53)</f>
        <v>0</v>
      </c>
      <c r="BK44" s="27">
        <f t="shared" si="57"/>
        <v>0</v>
      </c>
      <c r="BL44" s="27">
        <f t="shared" si="57"/>
        <v>0</v>
      </c>
      <c r="BM44" s="27">
        <f t="shared" ref="BM44" si="59">SUM(BM45+BM47+BM49+BM51+BM53)</f>
        <v>0</v>
      </c>
      <c r="BN44" s="27">
        <f t="shared" si="57"/>
        <v>39491</v>
      </c>
      <c r="BO44" s="27">
        <f t="shared" si="57"/>
        <v>0</v>
      </c>
      <c r="BP44" s="27">
        <f t="shared" si="57"/>
        <v>0</v>
      </c>
      <c r="BQ44" s="27">
        <f t="shared" si="57"/>
        <v>0</v>
      </c>
      <c r="BR44" s="27">
        <f t="shared" si="57"/>
        <v>0</v>
      </c>
      <c r="BS44" s="27">
        <f t="shared" si="57"/>
        <v>0</v>
      </c>
      <c r="BT44" s="27">
        <f t="shared" si="57"/>
        <v>0</v>
      </c>
      <c r="BU44" s="27">
        <f t="shared" ref="BU44:CV44" si="60">SUM(BU45+BU47+BU49+BU51+BU53)</f>
        <v>0</v>
      </c>
      <c r="BV44" s="27">
        <f t="shared" si="60"/>
        <v>0</v>
      </c>
      <c r="BW44" s="27">
        <f t="shared" si="60"/>
        <v>0</v>
      </c>
      <c r="BX44" s="27">
        <f t="shared" si="60"/>
        <v>39491</v>
      </c>
      <c r="BY44" s="27">
        <f t="shared" si="60"/>
        <v>0</v>
      </c>
      <c r="BZ44" s="27">
        <f t="shared" si="60"/>
        <v>930705</v>
      </c>
      <c r="CA44" s="27">
        <f t="shared" si="60"/>
        <v>930705</v>
      </c>
      <c r="CB44" s="27">
        <f t="shared" si="60"/>
        <v>930705</v>
      </c>
      <c r="CC44" s="27">
        <f t="shared" si="60"/>
        <v>0</v>
      </c>
      <c r="CD44" s="27">
        <f t="shared" si="60"/>
        <v>930705</v>
      </c>
      <c r="CE44" s="27">
        <f t="shared" si="60"/>
        <v>0</v>
      </c>
      <c r="CF44" s="27">
        <f t="shared" si="60"/>
        <v>0</v>
      </c>
      <c r="CG44" s="27">
        <f t="shared" ref="CG44:CH44" si="61">SUM(CG45+CG47+CG49+CG51+CG53)</f>
        <v>0</v>
      </c>
      <c r="CH44" s="27">
        <f t="shared" si="61"/>
        <v>0</v>
      </c>
      <c r="CI44" s="27">
        <f t="shared" si="60"/>
        <v>0</v>
      </c>
      <c r="CJ44" s="27">
        <f t="shared" ref="CJ44" si="62">SUM(CJ45+CJ47+CJ49+CJ51+CJ53)</f>
        <v>0</v>
      </c>
      <c r="CK44" s="27">
        <f t="shared" si="60"/>
        <v>0</v>
      </c>
      <c r="CL44" s="27">
        <f t="shared" ref="CL44" si="63">SUM(CL45+CL47+CL49+CL51+CL53)</f>
        <v>0</v>
      </c>
      <c r="CM44" s="27">
        <f t="shared" si="60"/>
        <v>0</v>
      </c>
      <c r="CN44" s="27"/>
      <c r="CO44" s="27">
        <f t="shared" si="60"/>
        <v>0</v>
      </c>
      <c r="CP44" s="27">
        <f t="shared" si="60"/>
        <v>0</v>
      </c>
      <c r="CQ44" s="27">
        <f t="shared" si="60"/>
        <v>0</v>
      </c>
      <c r="CR44" s="27">
        <f t="shared" si="60"/>
        <v>0</v>
      </c>
      <c r="CS44" s="27">
        <f t="shared" si="60"/>
        <v>0</v>
      </c>
      <c r="CT44" s="27">
        <f t="shared" si="60"/>
        <v>0</v>
      </c>
      <c r="CU44" s="27">
        <f t="shared" si="60"/>
        <v>0</v>
      </c>
      <c r="CV44" s="60">
        <f t="shared" si="60"/>
        <v>0</v>
      </c>
      <c r="CW44" s="57"/>
    </row>
    <row r="45" spans="1:101" s="58" customFormat="1" ht="15.6" x14ac:dyDescent="0.3">
      <c r="A45" s="104" t="s">
        <v>92</v>
      </c>
      <c r="B45" s="16" t="s">
        <v>1</v>
      </c>
      <c r="C45" s="17" t="s">
        <v>93</v>
      </c>
      <c r="D45" s="18">
        <f t="shared" ref="D45:BQ45" si="64">SUM(D46)</f>
        <v>4975107</v>
      </c>
      <c r="E45" s="18">
        <f t="shared" si="64"/>
        <v>4944402</v>
      </c>
      <c r="F45" s="18">
        <f t="shared" si="64"/>
        <v>4932516</v>
      </c>
      <c r="G45" s="18">
        <f t="shared" si="64"/>
        <v>4013382</v>
      </c>
      <c r="H45" s="18">
        <f t="shared" si="64"/>
        <v>616118</v>
      </c>
      <c r="I45" s="18">
        <f t="shared" si="64"/>
        <v>89980</v>
      </c>
      <c r="J45" s="18">
        <f t="shared" si="64"/>
        <v>0</v>
      </c>
      <c r="K45" s="18">
        <f t="shared" si="64"/>
        <v>0</v>
      </c>
      <c r="L45" s="18">
        <f t="shared" si="64"/>
        <v>0</v>
      </c>
      <c r="M45" s="18">
        <f t="shared" si="64"/>
        <v>0</v>
      </c>
      <c r="N45" s="18">
        <f t="shared" si="64"/>
        <v>67421</v>
      </c>
      <c r="O45" s="18">
        <f t="shared" si="64"/>
        <v>22559</v>
      </c>
      <c r="P45" s="18">
        <f t="shared" si="64"/>
        <v>0</v>
      </c>
      <c r="Q45" s="18">
        <f t="shared" si="64"/>
        <v>0</v>
      </c>
      <c r="R45" s="18">
        <f t="shared" si="64"/>
        <v>0</v>
      </c>
      <c r="S45" s="18">
        <f t="shared" si="64"/>
        <v>0</v>
      </c>
      <c r="T45" s="18">
        <f t="shared" si="64"/>
        <v>19054</v>
      </c>
      <c r="U45" s="18">
        <f t="shared" si="64"/>
        <v>86581</v>
      </c>
      <c r="V45" s="18">
        <f t="shared" si="64"/>
        <v>5470</v>
      </c>
      <c r="W45" s="18">
        <f t="shared" si="64"/>
        <v>0</v>
      </c>
      <c r="X45" s="18">
        <f t="shared" si="64"/>
        <v>59559</v>
      </c>
      <c r="Y45" s="18">
        <f t="shared" si="64"/>
        <v>8474</v>
      </c>
      <c r="Z45" s="18">
        <f t="shared" si="64"/>
        <v>1166</v>
      </c>
      <c r="AA45" s="18">
        <f t="shared" si="64"/>
        <v>0</v>
      </c>
      <c r="AB45" s="18">
        <f t="shared" si="64"/>
        <v>0</v>
      </c>
      <c r="AC45" s="18">
        <f t="shared" si="64"/>
        <v>11912</v>
      </c>
      <c r="AD45" s="18">
        <f t="shared" si="64"/>
        <v>0</v>
      </c>
      <c r="AE45" s="18">
        <f t="shared" si="64"/>
        <v>107401</v>
      </c>
      <c r="AF45" s="18">
        <f t="shared" si="64"/>
        <v>0</v>
      </c>
      <c r="AG45" s="18">
        <f t="shared" si="64"/>
        <v>0</v>
      </c>
      <c r="AH45" s="18">
        <f t="shared" si="64"/>
        <v>6440</v>
      </c>
      <c r="AI45" s="18">
        <f t="shared" si="64"/>
        <v>0</v>
      </c>
      <c r="AJ45" s="18">
        <f t="shared" si="64"/>
        <v>0</v>
      </c>
      <c r="AK45" s="18">
        <f t="shared" si="64"/>
        <v>0</v>
      </c>
      <c r="AL45" s="18">
        <f t="shared" si="64"/>
        <v>0</v>
      </c>
      <c r="AM45" s="18">
        <f t="shared" si="64"/>
        <v>500</v>
      </c>
      <c r="AN45" s="18">
        <f t="shared" si="64"/>
        <v>3277</v>
      </c>
      <c r="AO45" s="18">
        <f t="shared" si="64"/>
        <v>69646</v>
      </c>
      <c r="AP45" s="18">
        <f t="shared" si="64"/>
        <v>0</v>
      </c>
      <c r="AQ45" s="18">
        <f t="shared" si="64"/>
        <v>0</v>
      </c>
      <c r="AR45" s="18">
        <f t="shared" si="64"/>
        <v>17038</v>
      </c>
      <c r="AS45" s="18">
        <f t="shared" si="64"/>
        <v>10000</v>
      </c>
      <c r="AT45" s="18"/>
      <c r="AU45" s="18"/>
      <c r="AV45" s="18">
        <f t="shared" si="64"/>
        <v>0</v>
      </c>
      <c r="AW45" s="18">
        <f t="shared" si="64"/>
        <v>0</v>
      </c>
      <c r="AX45" s="18">
        <f t="shared" si="64"/>
        <v>0</v>
      </c>
      <c r="AY45" s="18"/>
      <c r="AZ45" s="18">
        <f t="shared" si="64"/>
        <v>500</v>
      </c>
      <c r="BA45" s="18">
        <f t="shared" si="64"/>
        <v>11886</v>
      </c>
      <c r="BB45" s="18">
        <f t="shared" si="64"/>
        <v>0</v>
      </c>
      <c r="BC45" s="18">
        <f t="shared" si="64"/>
        <v>0</v>
      </c>
      <c r="BD45" s="18">
        <f t="shared" si="64"/>
        <v>0</v>
      </c>
      <c r="BE45" s="18">
        <f t="shared" si="64"/>
        <v>0</v>
      </c>
      <c r="BF45" s="18">
        <f t="shared" si="64"/>
        <v>0</v>
      </c>
      <c r="BG45" s="18">
        <f t="shared" si="64"/>
        <v>0</v>
      </c>
      <c r="BH45" s="18">
        <f t="shared" si="64"/>
        <v>0</v>
      </c>
      <c r="BI45" s="18">
        <f t="shared" si="64"/>
        <v>0</v>
      </c>
      <c r="BJ45" s="18">
        <f t="shared" si="64"/>
        <v>0</v>
      </c>
      <c r="BK45" s="18">
        <f t="shared" si="64"/>
        <v>0</v>
      </c>
      <c r="BL45" s="18">
        <f t="shared" si="64"/>
        <v>0</v>
      </c>
      <c r="BM45" s="18">
        <f t="shared" si="64"/>
        <v>0</v>
      </c>
      <c r="BN45" s="18">
        <f t="shared" si="64"/>
        <v>11886</v>
      </c>
      <c r="BO45" s="18">
        <f t="shared" si="64"/>
        <v>0</v>
      </c>
      <c r="BP45" s="18">
        <f t="shared" si="64"/>
        <v>0</v>
      </c>
      <c r="BQ45" s="18">
        <f t="shared" si="64"/>
        <v>0</v>
      </c>
      <c r="BR45" s="18">
        <f t="shared" ref="BR45:CV45" si="65">SUM(BR46)</f>
        <v>0</v>
      </c>
      <c r="BS45" s="18">
        <f t="shared" si="65"/>
        <v>0</v>
      </c>
      <c r="BT45" s="18">
        <f t="shared" si="65"/>
        <v>0</v>
      </c>
      <c r="BU45" s="18">
        <f t="shared" si="65"/>
        <v>0</v>
      </c>
      <c r="BV45" s="18">
        <f t="shared" si="65"/>
        <v>0</v>
      </c>
      <c r="BW45" s="18">
        <f t="shared" si="65"/>
        <v>0</v>
      </c>
      <c r="BX45" s="18">
        <f t="shared" si="65"/>
        <v>11886</v>
      </c>
      <c r="BY45" s="18">
        <f t="shared" si="65"/>
        <v>0</v>
      </c>
      <c r="BZ45" s="18">
        <f t="shared" si="65"/>
        <v>30705</v>
      </c>
      <c r="CA45" s="18">
        <f t="shared" si="65"/>
        <v>30705</v>
      </c>
      <c r="CB45" s="18">
        <f t="shared" si="65"/>
        <v>30705</v>
      </c>
      <c r="CC45" s="18">
        <f t="shared" si="65"/>
        <v>0</v>
      </c>
      <c r="CD45" s="18">
        <f t="shared" si="65"/>
        <v>30705</v>
      </c>
      <c r="CE45" s="18">
        <f t="shared" si="65"/>
        <v>0</v>
      </c>
      <c r="CF45" s="18">
        <f t="shared" si="65"/>
        <v>0</v>
      </c>
      <c r="CG45" s="18">
        <f t="shared" si="65"/>
        <v>0</v>
      </c>
      <c r="CH45" s="18">
        <f t="shared" si="65"/>
        <v>0</v>
      </c>
      <c r="CI45" s="18">
        <f t="shared" si="65"/>
        <v>0</v>
      </c>
      <c r="CJ45" s="18">
        <f t="shared" si="65"/>
        <v>0</v>
      </c>
      <c r="CK45" s="18">
        <f t="shared" si="65"/>
        <v>0</v>
      </c>
      <c r="CL45" s="18">
        <f t="shared" si="65"/>
        <v>0</v>
      </c>
      <c r="CM45" s="18">
        <f t="shared" si="65"/>
        <v>0</v>
      </c>
      <c r="CN45" s="18"/>
      <c r="CO45" s="18">
        <f t="shared" si="65"/>
        <v>0</v>
      </c>
      <c r="CP45" s="74"/>
      <c r="CQ45" s="74"/>
      <c r="CR45" s="74"/>
      <c r="CS45" s="18">
        <f t="shared" si="65"/>
        <v>0</v>
      </c>
      <c r="CT45" s="18">
        <f t="shared" si="65"/>
        <v>0</v>
      </c>
      <c r="CU45" s="18">
        <f t="shared" si="65"/>
        <v>0</v>
      </c>
      <c r="CV45" s="46">
        <f t="shared" si="65"/>
        <v>0</v>
      </c>
      <c r="CW45" s="57"/>
    </row>
    <row r="46" spans="1:101" ht="15.6" x14ac:dyDescent="0.3">
      <c r="A46" s="105" t="s">
        <v>1</v>
      </c>
      <c r="B46" s="21" t="s">
        <v>94</v>
      </c>
      <c r="C46" s="22" t="s">
        <v>95</v>
      </c>
      <c r="D46" s="19">
        <f>SUM(E46+BZ46+CS46)</f>
        <v>4975107</v>
      </c>
      <c r="E46" s="19">
        <f>SUM(F46+BA46)</f>
        <v>4944402</v>
      </c>
      <c r="F46" s="19">
        <f>SUM(G46+H46+I46+P46+S46+T46+U46+AE46+AD46)</f>
        <v>4932516</v>
      </c>
      <c r="G46" s="23">
        <v>4013382</v>
      </c>
      <c r="H46" s="23">
        <v>616118</v>
      </c>
      <c r="I46" s="19">
        <f t="shared" si="7"/>
        <v>89980</v>
      </c>
      <c r="J46" s="23">
        <v>0</v>
      </c>
      <c r="K46" s="23">
        <v>0</v>
      </c>
      <c r="L46" s="23">
        <v>0</v>
      </c>
      <c r="M46" s="23">
        <v>0</v>
      </c>
      <c r="N46" s="23">
        <v>67421</v>
      </c>
      <c r="O46" s="23">
        <v>22559</v>
      </c>
      <c r="P46" s="19">
        <f t="shared" si="8"/>
        <v>0</v>
      </c>
      <c r="Q46" s="19">
        <v>0</v>
      </c>
      <c r="R46" s="19">
        <v>0</v>
      </c>
      <c r="S46" s="19">
        <v>0</v>
      </c>
      <c r="T46" s="23">
        <v>19054</v>
      </c>
      <c r="U46" s="19">
        <f>SUM(V46:AC46)</f>
        <v>86581</v>
      </c>
      <c r="V46" s="23">
        <v>5470</v>
      </c>
      <c r="W46" s="23">
        <v>0</v>
      </c>
      <c r="X46" s="23">
        <v>59559</v>
      </c>
      <c r="Y46" s="23">
        <v>8474</v>
      </c>
      <c r="Z46" s="23">
        <v>1166</v>
      </c>
      <c r="AA46" s="23">
        <v>0</v>
      </c>
      <c r="AB46" s="23">
        <v>0</v>
      </c>
      <c r="AC46" s="23">
        <v>11912</v>
      </c>
      <c r="AD46" s="19">
        <v>0</v>
      </c>
      <c r="AE46" s="19">
        <f>SUM(AF46:AZ46)</f>
        <v>107401</v>
      </c>
      <c r="AF46" s="19">
        <v>0</v>
      </c>
      <c r="AG46" s="19">
        <v>0</v>
      </c>
      <c r="AH46" s="23">
        <v>6440</v>
      </c>
      <c r="AI46" s="23">
        <v>0</v>
      </c>
      <c r="AJ46" s="23">
        <v>0</v>
      </c>
      <c r="AK46" s="23">
        <v>0</v>
      </c>
      <c r="AL46" s="23">
        <v>0</v>
      </c>
      <c r="AM46" s="23">
        <v>500</v>
      </c>
      <c r="AN46" s="23">
        <v>3277</v>
      </c>
      <c r="AO46" s="23">
        <v>69646</v>
      </c>
      <c r="AP46" s="23">
        <v>0</v>
      </c>
      <c r="AQ46" s="23">
        <v>0</v>
      </c>
      <c r="AR46" s="23">
        <v>17038</v>
      </c>
      <c r="AS46" s="23">
        <v>10000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500</v>
      </c>
      <c r="BA46" s="19">
        <f>SUM(BB46+BF46+BI46+BK46+BN46)</f>
        <v>11886</v>
      </c>
      <c r="BB46" s="19">
        <f>SUM(BC46:BE46)</f>
        <v>0</v>
      </c>
      <c r="BC46" s="19">
        <v>0</v>
      </c>
      <c r="BD46" s="19">
        <v>0</v>
      </c>
      <c r="BE46" s="19">
        <v>0</v>
      </c>
      <c r="BF46" s="19">
        <f>SUM(BH46:BH46)</f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f t="shared" si="9"/>
        <v>0</v>
      </c>
      <c r="BL46" s="19">
        <v>0</v>
      </c>
      <c r="BM46" s="19">
        <v>0</v>
      </c>
      <c r="BN46" s="19">
        <f>SUM(BO46:BY46)</f>
        <v>11886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11886</v>
      </c>
      <c r="BY46" s="19">
        <v>0</v>
      </c>
      <c r="BZ46" s="19">
        <f>SUM(CA46+CO46)</f>
        <v>30705</v>
      </c>
      <c r="CA46" s="19">
        <f>SUM(CB46+CE46+CK46)</f>
        <v>30705</v>
      </c>
      <c r="CB46" s="19">
        <f t="shared" si="10"/>
        <v>30705</v>
      </c>
      <c r="CC46" s="19">
        <v>0</v>
      </c>
      <c r="CD46" s="23">
        <v>30705</v>
      </c>
      <c r="CE46" s="19">
        <f>SUM(CF46:CJ46)</f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f>SUM(CL46:CN46)</f>
        <v>0</v>
      </c>
      <c r="CL46" s="19">
        <v>0</v>
      </c>
      <c r="CM46" s="19">
        <v>0</v>
      </c>
      <c r="CN46" s="19"/>
      <c r="CO46" s="19">
        <v>0</v>
      </c>
      <c r="CP46" s="75"/>
      <c r="CQ46" s="75"/>
      <c r="CR46" s="75"/>
      <c r="CS46" s="19">
        <f t="shared" si="11"/>
        <v>0</v>
      </c>
      <c r="CT46" s="19">
        <f t="shared" si="12"/>
        <v>0</v>
      </c>
      <c r="CU46" s="19">
        <v>0</v>
      </c>
      <c r="CV46" s="20">
        <v>0</v>
      </c>
      <c r="CW46" s="52"/>
    </row>
    <row r="47" spans="1:101" s="58" customFormat="1" ht="15.6" x14ac:dyDescent="0.3">
      <c r="A47" s="104" t="s">
        <v>96</v>
      </c>
      <c r="B47" s="16" t="s">
        <v>1</v>
      </c>
      <c r="C47" s="17" t="s">
        <v>97</v>
      </c>
      <c r="D47" s="18">
        <f t="shared" ref="D47:AK47" si="66">SUM(D48)</f>
        <v>14653802</v>
      </c>
      <c r="E47" s="18">
        <f t="shared" si="66"/>
        <v>14573802</v>
      </c>
      <c r="F47" s="18">
        <f t="shared" si="66"/>
        <v>14573802</v>
      </c>
      <c r="G47" s="18">
        <f t="shared" si="66"/>
        <v>12097977</v>
      </c>
      <c r="H47" s="18">
        <f t="shared" si="66"/>
        <v>1203808</v>
      </c>
      <c r="I47" s="18">
        <f t="shared" si="66"/>
        <v>410000</v>
      </c>
      <c r="J47" s="18">
        <f t="shared" si="66"/>
        <v>0</v>
      </c>
      <c r="K47" s="18">
        <f t="shared" si="66"/>
        <v>0</v>
      </c>
      <c r="L47" s="18">
        <f t="shared" si="66"/>
        <v>0</v>
      </c>
      <c r="M47" s="18">
        <f t="shared" si="66"/>
        <v>0</v>
      </c>
      <c r="N47" s="18">
        <f t="shared" si="66"/>
        <v>350000</v>
      </c>
      <c r="O47" s="18">
        <f t="shared" si="66"/>
        <v>60000</v>
      </c>
      <c r="P47" s="18">
        <f t="shared" si="66"/>
        <v>9630</v>
      </c>
      <c r="Q47" s="18">
        <f t="shared" si="66"/>
        <v>9630</v>
      </c>
      <c r="R47" s="18">
        <f t="shared" si="66"/>
        <v>0</v>
      </c>
      <c r="S47" s="18">
        <f t="shared" si="66"/>
        <v>0</v>
      </c>
      <c r="T47" s="18">
        <f t="shared" si="66"/>
        <v>34186</v>
      </c>
      <c r="U47" s="18">
        <f t="shared" si="66"/>
        <v>104795</v>
      </c>
      <c r="V47" s="18">
        <f t="shared" si="66"/>
        <v>5000</v>
      </c>
      <c r="W47" s="18">
        <f t="shared" si="66"/>
        <v>56065</v>
      </c>
      <c r="X47" s="18">
        <f t="shared" si="66"/>
        <v>34187</v>
      </c>
      <c r="Y47" s="18">
        <f t="shared" si="66"/>
        <v>6219</v>
      </c>
      <c r="Z47" s="18">
        <f t="shared" si="66"/>
        <v>3324</v>
      </c>
      <c r="AA47" s="18">
        <f t="shared" si="66"/>
        <v>0</v>
      </c>
      <c r="AB47" s="18">
        <f t="shared" si="66"/>
        <v>0</v>
      </c>
      <c r="AC47" s="18">
        <f t="shared" si="66"/>
        <v>0</v>
      </c>
      <c r="AD47" s="18">
        <f t="shared" si="66"/>
        <v>0</v>
      </c>
      <c r="AE47" s="18">
        <f t="shared" si="66"/>
        <v>713406</v>
      </c>
      <c r="AF47" s="18">
        <f t="shared" si="66"/>
        <v>0</v>
      </c>
      <c r="AG47" s="18">
        <f t="shared" si="66"/>
        <v>0</v>
      </c>
      <c r="AH47" s="18">
        <f t="shared" si="66"/>
        <v>1000</v>
      </c>
      <c r="AI47" s="18">
        <f t="shared" si="66"/>
        <v>253000</v>
      </c>
      <c r="AJ47" s="18">
        <f t="shared" si="66"/>
        <v>0</v>
      </c>
      <c r="AK47" s="18">
        <f t="shared" si="66"/>
        <v>0</v>
      </c>
      <c r="AL47" s="18">
        <f t="shared" ref="AL47:CV47" si="67">SUM(AL48)</f>
        <v>0</v>
      </c>
      <c r="AM47" s="18">
        <f t="shared" si="67"/>
        <v>437</v>
      </c>
      <c r="AN47" s="18">
        <f t="shared" si="67"/>
        <v>9000</v>
      </c>
      <c r="AO47" s="18">
        <f t="shared" si="67"/>
        <v>57424</v>
      </c>
      <c r="AP47" s="18">
        <f t="shared" si="67"/>
        <v>0</v>
      </c>
      <c r="AQ47" s="18">
        <f t="shared" si="67"/>
        <v>0</v>
      </c>
      <c r="AR47" s="18">
        <f t="shared" si="67"/>
        <v>367545</v>
      </c>
      <c r="AS47" s="18">
        <f t="shared" si="67"/>
        <v>0</v>
      </c>
      <c r="AT47" s="18"/>
      <c r="AU47" s="18"/>
      <c r="AV47" s="18">
        <f t="shared" si="67"/>
        <v>0</v>
      </c>
      <c r="AW47" s="18">
        <f t="shared" si="67"/>
        <v>0</v>
      </c>
      <c r="AX47" s="18">
        <f t="shared" si="67"/>
        <v>0</v>
      </c>
      <c r="AY47" s="18"/>
      <c r="AZ47" s="18">
        <f t="shared" si="67"/>
        <v>25000</v>
      </c>
      <c r="BA47" s="18">
        <f t="shared" si="67"/>
        <v>0</v>
      </c>
      <c r="BB47" s="18">
        <f t="shared" si="67"/>
        <v>0</v>
      </c>
      <c r="BC47" s="18">
        <f t="shared" si="67"/>
        <v>0</v>
      </c>
      <c r="BD47" s="18">
        <f t="shared" si="67"/>
        <v>0</v>
      </c>
      <c r="BE47" s="18">
        <f t="shared" si="67"/>
        <v>0</v>
      </c>
      <c r="BF47" s="18">
        <f t="shared" si="67"/>
        <v>0</v>
      </c>
      <c r="BG47" s="18">
        <f t="shared" si="67"/>
        <v>0</v>
      </c>
      <c r="BH47" s="18">
        <f t="shared" si="67"/>
        <v>0</v>
      </c>
      <c r="BI47" s="18">
        <f t="shared" si="67"/>
        <v>0</v>
      </c>
      <c r="BJ47" s="18">
        <f t="shared" si="67"/>
        <v>0</v>
      </c>
      <c r="BK47" s="18">
        <f t="shared" si="67"/>
        <v>0</v>
      </c>
      <c r="BL47" s="18">
        <f t="shared" si="67"/>
        <v>0</v>
      </c>
      <c r="BM47" s="18">
        <f t="shared" si="67"/>
        <v>0</v>
      </c>
      <c r="BN47" s="18">
        <f t="shared" si="67"/>
        <v>0</v>
      </c>
      <c r="BO47" s="18">
        <f t="shared" si="67"/>
        <v>0</v>
      </c>
      <c r="BP47" s="18">
        <f t="shared" si="67"/>
        <v>0</v>
      </c>
      <c r="BQ47" s="18">
        <f t="shared" si="67"/>
        <v>0</v>
      </c>
      <c r="BR47" s="18">
        <f t="shared" si="67"/>
        <v>0</v>
      </c>
      <c r="BS47" s="18">
        <f t="shared" si="67"/>
        <v>0</v>
      </c>
      <c r="BT47" s="18">
        <f t="shared" si="67"/>
        <v>0</v>
      </c>
      <c r="BU47" s="18">
        <f t="shared" si="67"/>
        <v>0</v>
      </c>
      <c r="BV47" s="18">
        <f t="shared" si="67"/>
        <v>0</v>
      </c>
      <c r="BW47" s="18">
        <f t="shared" si="67"/>
        <v>0</v>
      </c>
      <c r="BX47" s="18">
        <f t="shared" si="67"/>
        <v>0</v>
      </c>
      <c r="BY47" s="18">
        <f t="shared" si="67"/>
        <v>0</v>
      </c>
      <c r="BZ47" s="18">
        <f t="shared" si="67"/>
        <v>80000</v>
      </c>
      <c r="CA47" s="18">
        <f t="shared" si="67"/>
        <v>80000</v>
      </c>
      <c r="CB47" s="18">
        <f t="shared" si="67"/>
        <v>80000</v>
      </c>
      <c r="CC47" s="18">
        <f t="shared" si="67"/>
        <v>0</v>
      </c>
      <c r="CD47" s="18">
        <f t="shared" si="67"/>
        <v>80000</v>
      </c>
      <c r="CE47" s="18">
        <f t="shared" si="67"/>
        <v>0</v>
      </c>
      <c r="CF47" s="18">
        <f t="shared" si="67"/>
        <v>0</v>
      </c>
      <c r="CG47" s="18">
        <f t="shared" si="67"/>
        <v>0</v>
      </c>
      <c r="CH47" s="18">
        <f t="shared" si="67"/>
        <v>0</v>
      </c>
      <c r="CI47" s="18">
        <f t="shared" si="67"/>
        <v>0</v>
      </c>
      <c r="CJ47" s="18">
        <f t="shared" si="67"/>
        <v>0</v>
      </c>
      <c r="CK47" s="18">
        <f t="shared" si="67"/>
        <v>0</v>
      </c>
      <c r="CL47" s="18">
        <f t="shared" si="67"/>
        <v>0</v>
      </c>
      <c r="CM47" s="18">
        <f t="shared" si="67"/>
        <v>0</v>
      </c>
      <c r="CN47" s="18"/>
      <c r="CO47" s="18">
        <f t="shared" si="67"/>
        <v>0</v>
      </c>
      <c r="CP47" s="74"/>
      <c r="CQ47" s="74"/>
      <c r="CR47" s="74"/>
      <c r="CS47" s="18">
        <f t="shared" si="67"/>
        <v>0</v>
      </c>
      <c r="CT47" s="18">
        <f t="shared" si="67"/>
        <v>0</v>
      </c>
      <c r="CU47" s="18">
        <f t="shared" si="67"/>
        <v>0</v>
      </c>
      <c r="CV47" s="46">
        <f t="shared" si="67"/>
        <v>0</v>
      </c>
      <c r="CW47" s="57"/>
    </row>
    <row r="48" spans="1:101" ht="15.6" x14ac:dyDescent="0.3">
      <c r="A48" s="105" t="s">
        <v>1</v>
      </c>
      <c r="B48" s="21" t="s">
        <v>98</v>
      </c>
      <c r="C48" s="22" t="s">
        <v>99</v>
      </c>
      <c r="D48" s="19">
        <f>SUM(E48+BZ48+CS48)</f>
        <v>14653802</v>
      </c>
      <c r="E48" s="19">
        <f>SUM(F48+BA48)</f>
        <v>14573802</v>
      </c>
      <c r="F48" s="19">
        <f>SUM(G48+H48+I48+P48+S48+T48+U48+AE48+AD48)</f>
        <v>14573802</v>
      </c>
      <c r="G48" s="23">
        <v>12097977</v>
      </c>
      <c r="H48" s="23">
        <v>1203808</v>
      </c>
      <c r="I48" s="19">
        <f t="shared" si="7"/>
        <v>410000</v>
      </c>
      <c r="J48" s="23">
        <v>0</v>
      </c>
      <c r="K48" s="23"/>
      <c r="L48" s="23"/>
      <c r="M48" s="23"/>
      <c r="N48" s="23">
        <v>350000</v>
      </c>
      <c r="O48" s="23">
        <v>60000</v>
      </c>
      <c r="P48" s="19">
        <f t="shared" si="8"/>
        <v>9630</v>
      </c>
      <c r="Q48" s="23">
        <v>9630</v>
      </c>
      <c r="R48" s="23">
        <v>0</v>
      </c>
      <c r="S48" s="23">
        <v>0</v>
      </c>
      <c r="T48" s="23">
        <v>34186</v>
      </c>
      <c r="U48" s="19">
        <f>SUM(V48:AC48)</f>
        <v>104795</v>
      </c>
      <c r="V48" s="23">
        <v>5000</v>
      </c>
      <c r="W48" s="23">
        <v>56065</v>
      </c>
      <c r="X48" s="23">
        <v>34187</v>
      </c>
      <c r="Y48" s="23">
        <v>6219</v>
      </c>
      <c r="Z48" s="23">
        <v>3324</v>
      </c>
      <c r="AA48" s="23">
        <v>0</v>
      </c>
      <c r="AB48" s="23">
        <v>0</v>
      </c>
      <c r="AC48" s="23">
        <v>0</v>
      </c>
      <c r="AD48" s="19">
        <v>0</v>
      </c>
      <c r="AE48" s="19">
        <f>SUM(AF48:AZ48)</f>
        <v>713406</v>
      </c>
      <c r="AF48" s="19">
        <v>0</v>
      </c>
      <c r="AG48" s="19">
        <v>0</v>
      </c>
      <c r="AH48" s="23">
        <v>1000</v>
      </c>
      <c r="AI48" s="23">
        <v>253000</v>
      </c>
      <c r="AJ48" s="23">
        <v>0</v>
      </c>
      <c r="AK48" s="23">
        <v>0</v>
      </c>
      <c r="AL48" s="23">
        <v>0</v>
      </c>
      <c r="AM48" s="23">
        <v>437</v>
      </c>
      <c r="AN48" s="23">
        <v>9000</v>
      </c>
      <c r="AO48" s="23">
        <v>57424</v>
      </c>
      <c r="AP48" s="23">
        <v>0</v>
      </c>
      <c r="AQ48" s="23">
        <v>0</v>
      </c>
      <c r="AR48" s="23">
        <v>367545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25000</v>
      </c>
      <c r="BA48" s="19">
        <f>SUM(BB48+BF48+BI48+BK48+BN48)</f>
        <v>0</v>
      </c>
      <c r="BB48" s="19">
        <f>SUM(BC48:BE48)</f>
        <v>0</v>
      </c>
      <c r="BC48" s="19">
        <v>0</v>
      </c>
      <c r="BD48" s="19">
        <v>0</v>
      </c>
      <c r="BE48" s="19">
        <v>0</v>
      </c>
      <c r="BF48" s="19">
        <f>SUM(BH48:BH48)</f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f t="shared" si="9"/>
        <v>0</v>
      </c>
      <c r="BL48" s="19">
        <v>0</v>
      </c>
      <c r="BM48" s="19">
        <v>0</v>
      </c>
      <c r="BN48" s="19">
        <f>SUM(BO48:BY48)</f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19">
        <f>SUM(CA48+CO48)</f>
        <v>80000</v>
      </c>
      <c r="CA48" s="19">
        <f>SUM(CB48+CE48+CK48)</f>
        <v>80000</v>
      </c>
      <c r="CB48" s="19">
        <f t="shared" si="10"/>
        <v>80000</v>
      </c>
      <c r="CC48" s="19">
        <v>0</v>
      </c>
      <c r="CD48" s="23">
        <v>80000</v>
      </c>
      <c r="CE48" s="19">
        <f>SUM(CF48:CJ48)</f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f>SUM(CL48:CN48)</f>
        <v>0</v>
      </c>
      <c r="CL48" s="19">
        <v>0</v>
      </c>
      <c r="CM48" s="19">
        <v>0</v>
      </c>
      <c r="CN48" s="19"/>
      <c r="CO48" s="19">
        <v>0</v>
      </c>
      <c r="CP48" s="75"/>
      <c r="CQ48" s="75"/>
      <c r="CR48" s="75"/>
      <c r="CS48" s="19">
        <f t="shared" si="11"/>
        <v>0</v>
      </c>
      <c r="CT48" s="19">
        <f t="shared" si="12"/>
        <v>0</v>
      </c>
      <c r="CU48" s="19">
        <v>0</v>
      </c>
      <c r="CV48" s="20">
        <v>0</v>
      </c>
      <c r="CW48" s="52"/>
    </row>
    <row r="49" spans="1:101" s="58" customFormat="1" ht="15.6" x14ac:dyDescent="0.3">
      <c r="A49" s="104" t="s">
        <v>100</v>
      </c>
      <c r="B49" s="16" t="s">
        <v>1</v>
      </c>
      <c r="C49" s="17" t="s">
        <v>101</v>
      </c>
      <c r="D49" s="18">
        <f t="shared" ref="D49:AK49" si="68">SUM(D50)</f>
        <v>31699919</v>
      </c>
      <c r="E49" s="18">
        <f t="shared" si="68"/>
        <v>30899919</v>
      </c>
      <c r="F49" s="18">
        <f t="shared" si="68"/>
        <v>30899919</v>
      </c>
      <c r="G49" s="18">
        <f t="shared" si="68"/>
        <v>25380271</v>
      </c>
      <c r="H49" s="18">
        <f t="shared" si="68"/>
        <v>3349246</v>
      </c>
      <c r="I49" s="18">
        <f t="shared" si="68"/>
        <v>675163</v>
      </c>
      <c r="J49" s="18">
        <f t="shared" si="68"/>
        <v>0</v>
      </c>
      <c r="K49" s="18">
        <f t="shared" si="68"/>
        <v>0</v>
      </c>
      <c r="L49" s="18">
        <f t="shared" si="68"/>
        <v>0</v>
      </c>
      <c r="M49" s="18">
        <f t="shared" si="68"/>
        <v>0</v>
      </c>
      <c r="N49" s="18">
        <f t="shared" si="68"/>
        <v>350000</v>
      </c>
      <c r="O49" s="18">
        <f t="shared" si="68"/>
        <v>325163</v>
      </c>
      <c r="P49" s="18">
        <f t="shared" si="68"/>
        <v>0</v>
      </c>
      <c r="Q49" s="18">
        <f t="shared" si="68"/>
        <v>0</v>
      </c>
      <c r="R49" s="18">
        <f t="shared" si="68"/>
        <v>0</v>
      </c>
      <c r="S49" s="18">
        <f t="shared" si="68"/>
        <v>0</v>
      </c>
      <c r="T49" s="18">
        <f t="shared" si="68"/>
        <v>307545</v>
      </c>
      <c r="U49" s="18">
        <f t="shared" si="68"/>
        <v>343109</v>
      </c>
      <c r="V49" s="18">
        <f t="shared" si="68"/>
        <v>80000</v>
      </c>
      <c r="W49" s="18">
        <f t="shared" si="68"/>
        <v>92195</v>
      </c>
      <c r="X49" s="18">
        <f t="shared" si="68"/>
        <v>101991</v>
      </c>
      <c r="Y49" s="18">
        <f t="shared" si="68"/>
        <v>29374</v>
      </c>
      <c r="Z49" s="18">
        <f t="shared" si="68"/>
        <v>10500</v>
      </c>
      <c r="AA49" s="18">
        <f t="shared" si="68"/>
        <v>0</v>
      </c>
      <c r="AB49" s="18">
        <f t="shared" si="68"/>
        <v>0</v>
      </c>
      <c r="AC49" s="18">
        <f t="shared" si="68"/>
        <v>29049</v>
      </c>
      <c r="AD49" s="18">
        <f t="shared" si="68"/>
        <v>0</v>
      </c>
      <c r="AE49" s="18">
        <f t="shared" si="68"/>
        <v>844585</v>
      </c>
      <c r="AF49" s="18">
        <f t="shared" si="68"/>
        <v>0</v>
      </c>
      <c r="AG49" s="18">
        <f t="shared" si="68"/>
        <v>0</v>
      </c>
      <c r="AH49" s="18">
        <f t="shared" si="68"/>
        <v>10000</v>
      </c>
      <c r="AI49" s="18">
        <f t="shared" si="68"/>
        <v>115000</v>
      </c>
      <c r="AJ49" s="18">
        <f t="shared" si="68"/>
        <v>0</v>
      </c>
      <c r="AK49" s="18">
        <f t="shared" si="68"/>
        <v>3000</v>
      </c>
      <c r="AL49" s="18">
        <f t="shared" ref="AL49:CV49" si="69">SUM(AL50)</f>
        <v>0</v>
      </c>
      <c r="AM49" s="18">
        <f t="shared" si="69"/>
        <v>1500</v>
      </c>
      <c r="AN49" s="18">
        <f t="shared" si="69"/>
        <v>55000</v>
      </c>
      <c r="AO49" s="18">
        <f t="shared" si="69"/>
        <v>5238</v>
      </c>
      <c r="AP49" s="18">
        <f t="shared" si="69"/>
        <v>0</v>
      </c>
      <c r="AQ49" s="18">
        <f t="shared" si="69"/>
        <v>0</v>
      </c>
      <c r="AR49" s="18">
        <f t="shared" si="69"/>
        <v>643347</v>
      </c>
      <c r="AS49" s="18">
        <f t="shared" si="69"/>
        <v>0</v>
      </c>
      <c r="AT49" s="18"/>
      <c r="AU49" s="18"/>
      <c r="AV49" s="18">
        <f t="shared" si="69"/>
        <v>0</v>
      </c>
      <c r="AW49" s="18">
        <f t="shared" si="69"/>
        <v>0</v>
      </c>
      <c r="AX49" s="18">
        <f t="shared" si="69"/>
        <v>6500</v>
      </c>
      <c r="AY49" s="18"/>
      <c r="AZ49" s="18">
        <f t="shared" si="69"/>
        <v>5000</v>
      </c>
      <c r="BA49" s="18">
        <f t="shared" si="69"/>
        <v>0</v>
      </c>
      <c r="BB49" s="18">
        <f t="shared" si="69"/>
        <v>0</v>
      </c>
      <c r="BC49" s="18">
        <f t="shared" si="69"/>
        <v>0</v>
      </c>
      <c r="BD49" s="18">
        <f t="shared" si="69"/>
        <v>0</v>
      </c>
      <c r="BE49" s="18">
        <f t="shared" si="69"/>
        <v>0</v>
      </c>
      <c r="BF49" s="18">
        <f t="shared" si="69"/>
        <v>0</v>
      </c>
      <c r="BG49" s="18">
        <f t="shared" si="69"/>
        <v>0</v>
      </c>
      <c r="BH49" s="18">
        <f t="shared" si="69"/>
        <v>0</v>
      </c>
      <c r="BI49" s="18">
        <f t="shared" si="69"/>
        <v>0</v>
      </c>
      <c r="BJ49" s="18">
        <f t="shared" si="69"/>
        <v>0</v>
      </c>
      <c r="BK49" s="18">
        <f t="shared" si="69"/>
        <v>0</v>
      </c>
      <c r="BL49" s="18">
        <f t="shared" si="69"/>
        <v>0</v>
      </c>
      <c r="BM49" s="18">
        <f t="shared" si="69"/>
        <v>0</v>
      </c>
      <c r="BN49" s="18">
        <f t="shared" ref="AL49:CV51" si="70">SUM(BN50)</f>
        <v>0</v>
      </c>
      <c r="BO49" s="18">
        <f t="shared" si="69"/>
        <v>0</v>
      </c>
      <c r="BP49" s="18">
        <f t="shared" si="69"/>
        <v>0</v>
      </c>
      <c r="BQ49" s="18">
        <f t="shared" si="69"/>
        <v>0</v>
      </c>
      <c r="BR49" s="18">
        <f t="shared" si="69"/>
        <v>0</v>
      </c>
      <c r="BS49" s="18">
        <f t="shared" si="69"/>
        <v>0</v>
      </c>
      <c r="BT49" s="18">
        <f t="shared" si="69"/>
        <v>0</v>
      </c>
      <c r="BU49" s="18">
        <f t="shared" si="69"/>
        <v>0</v>
      </c>
      <c r="BV49" s="18">
        <f t="shared" si="69"/>
        <v>0</v>
      </c>
      <c r="BW49" s="18">
        <f t="shared" si="69"/>
        <v>0</v>
      </c>
      <c r="BX49" s="18">
        <f t="shared" si="69"/>
        <v>0</v>
      </c>
      <c r="BY49" s="18">
        <f t="shared" si="69"/>
        <v>0</v>
      </c>
      <c r="BZ49" s="18">
        <f t="shared" si="69"/>
        <v>800000</v>
      </c>
      <c r="CA49" s="18">
        <f t="shared" si="69"/>
        <v>800000</v>
      </c>
      <c r="CB49" s="18">
        <f t="shared" si="69"/>
        <v>800000</v>
      </c>
      <c r="CC49" s="18">
        <f t="shared" si="69"/>
        <v>0</v>
      </c>
      <c r="CD49" s="18">
        <f t="shared" si="69"/>
        <v>800000</v>
      </c>
      <c r="CE49" s="18">
        <f t="shared" si="69"/>
        <v>0</v>
      </c>
      <c r="CF49" s="18">
        <f t="shared" si="69"/>
        <v>0</v>
      </c>
      <c r="CG49" s="18">
        <f t="shared" si="69"/>
        <v>0</v>
      </c>
      <c r="CH49" s="18">
        <f t="shared" si="69"/>
        <v>0</v>
      </c>
      <c r="CI49" s="18">
        <f t="shared" si="69"/>
        <v>0</v>
      </c>
      <c r="CJ49" s="18">
        <f t="shared" si="69"/>
        <v>0</v>
      </c>
      <c r="CK49" s="18">
        <f t="shared" si="69"/>
        <v>0</v>
      </c>
      <c r="CL49" s="18">
        <f t="shared" si="69"/>
        <v>0</v>
      </c>
      <c r="CM49" s="18">
        <f t="shared" si="69"/>
        <v>0</v>
      </c>
      <c r="CN49" s="18"/>
      <c r="CO49" s="18">
        <f t="shared" si="69"/>
        <v>0</v>
      </c>
      <c r="CP49" s="74"/>
      <c r="CQ49" s="74"/>
      <c r="CR49" s="74"/>
      <c r="CS49" s="18">
        <f t="shared" si="69"/>
        <v>0</v>
      </c>
      <c r="CT49" s="18">
        <f t="shared" si="69"/>
        <v>0</v>
      </c>
      <c r="CU49" s="18">
        <f t="shared" si="69"/>
        <v>0</v>
      </c>
      <c r="CV49" s="46">
        <f t="shared" si="69"/>
        <v>0</v>
      </c>
      <c r="CW49" s="57"/>
    </row>
    <row r="50" spans="1:101" ht="31.2" x14ac:dyDescent="0.3">
      <c r="A50" s="105" t="s">
        <v>1</v>
      </c>
      <c r="B50" s="21" t="s">
        <v>102</v>
      </c>
      <c r="C50" s="22" t="s">
        <v>492</v>
      </c>
      <c r="D50" s="19">
        <f>SUM(E50+BZ50+CS50)</f>
        <v>31699919</v>
      </c>
      <c r="E50" s="19">
        <f>SUM(F50+BA50)</f>
        <v>30899919</v>
      </c>
      <c r="F50" s="19">
        <f>SUM(G50+H50+I50+P50+S50+T50+U50+AE50+AD50)</f>
        <v>30899919</v>
      </c>
      <c r="G50" s="23">
        <v>25380271</v>
      </c>
      <c r="H50" s="23">
        <v>3349246</v>
      </c>
      <c r="I50" s="19">
        <f t="shared" si="7"/>
        <v>675163</v>
      </c>
      <c r="J50" s="23">
        <v>0</v>
      </c>
      <c r="K50" s="23"/>
      <c r="L50" s="23"/>
      <c r="M50" s="23"/>
      <c r="N50" s="23">
        <v>350000</v>
      </c>
      <c r="O50" s="23">
        <v>325163</v>
      </c>
      <c r="P50" s="19">
        <f t="shared" si="8"/>
        <v>0</v>
      </c>
      <c r="Q50" s="23">
        <v>0</v>
      </c>
      <c r="R50" s="23">
        <v>0</v>
      </c>
      <c r="S50" s="23">
        <v>0</v>
      </c>
      <c r="T50" s="23">
        <v>307545</v>
      </c>
      <c r="U50" s="19">
        <f>SUM(V50:AC50)</f>
        <v>343109</v>
      </c>
      <c r="V50" s="23">
        <v>80000</v>
      </c>
      <c r="W50" s="23">
        <v>92195</v>
      </c>
      <c r="X50" s="23">
        <v>101991</v>
      </c>
      <c r="Y50" s="23">
        <v>29374</v>
      </c>
      <c r="Z50" s="23">
        <v>10500</v>
      </c>
      <c r="AA50" s="23">
        <v>0</v>
      </c>
      <c r="AB50" s="23">
        <v>0</v>
      </c>
      <c r="AC50" s="23">
        <v>29049</v>
      </c>
      <c r="AD50" s="19">
        <v>0</v>
      </c>
      <c r="AE50" s="19">
        <f>SUM(AF50:AZ50)</f>
        <v>844585</v>
      </c>
      <c r="AF50" s="19">
        <v>0</v>
      </c>
      <c r="AG50" s="19">
        <v>0</v>
      </c>
      <c r="AH50" s="23">
        <v>10000</v>
      </c>
      <c r="AI50" s="23">
        <v>115000</v>
      </c>
      <c r="AJ50" s="23">
        <v>0</v>
      </c>
      <c r="AK50" s="23">
        <v>3000</v>
      </c>
      <c r="AL50" s="23">
        <v>0</v>
      </c>
      <c r="AM50" s="23">
        <v>1500</v>
      </c>
      <c r="AN50" s="23">
        <v>55000</v>
      </c>
      <c r="AO50" s="23">
        <v>5238</v>
      </c>
      <c r="AP50" s="23">
        <v>0</v>
      </c>
      <c r="AQ50" s="23">
        <v>0</v>
      </c>
      <c r="AR50" s="23">
        <v>643347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23">
        <v>6500</v>
      </c>
      <c r="AY50" s="23">
        <v>0</v>
      </c>
      <c r="AZ50" s="23">
        <v>5000</v>
      </c>
      <c r="BA50" s="19">
        <f>SUM(BB50+BF50+BI50+BK50+BN50)</f>
        <v>0</v>
      </c>
      <c r="BB50" s="19">
        <f>SUM(BC50:BE50)</f>
        <v>0</v>
      </c>
      <c r="BC50" s="19">
        <v>0</v>
      </c>
      <c r="BD50" s="19">
        <v>0</v>
      </c>
      <c r="BE50" s="19">
        <v>0</v>
      </c>
      <c r="BF50" s="19">
        <f>SUM(BH50:BH50)</f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f t="shared" si="9"/>
        <v>0</v>
      </c>
      <c r="BL50" s="19">
        <v>0</v>
      </c>
      <c r="BM50" s="19">
        <v>0</v>
      </c>
      <c r="BN50" s="19">
        <f>SUM(BO50:BY50)</f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f>SUM(CA50+CO50)</f>
        <v>800000</v>
      </c>
      <c r="CA50" s="19">
        <f>SUM(CB50+CE50+CK50)</f>
        <v>800000</v>
      </c>
      <c r="CB50" s="19">
        <f t="shared" si="10"/>
        <v>800000</v>
      </c>
      <c r="CC50" s="19">
        <v>0</v>
      </c>
      <c r="CD50" s="23">
        <v>800000</v>
      </c>
      <c r="CE50" s="19">
        <f>SUM(CF50:CJ50)</f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f>SUM(CL50:CN50)</f>
        <v>0</v>
      </c>
      <c r="CL50" s="19"/>
      <c r="CM50" s="23"/>
      <c r="CN50" s="19"/>
      <c r="CO50" s="19">
        <v>0</v>
      </c>
      <c r="CP50" s="75"/>
      <c r="CQ50" s="75"/>
      <c r="CR50" s="75"/>
      <c r="CS50" s="19">
        <f t="shared" si="11"/>
        <v>0</v>
      </c>
      <c r="CT50" s="19">
        <f t="shared" si="12"/>
        <v>0</v>
      </c>
      <c r="CU50" s="19">
        <v>0</v>
      </c>
      <c r="CV50" s="20">
        <v>0</v>
      </c>
      <c r="CW50" s="52"/>
    </row>
    <row r="51" spans="1:101" s="58" customFormat="1" ht="15.6" x14ac:dyDescent="0.3">
      <c r="A51" s="104" t="s">
        <v>103</v>
      </c>
      <c r="B51" s="16" t="s">
        <v>1</v>
      </c>
      <c r="C51" s="17" t="s">
        <v>104</v>
      </c>
      <c r="D51" s="18">
        <f t="shared" ref="D51:AK51" si="71">SUM(D52)</f>
        <v>6931741</v>
      </c>
      <c r="E51" s="18">
        <f t="shared" si="71"/>
        <v>6911741</v>
      </c>
      <c r="F51" s="18">
        <f t="shared" si="71"/>
        <v>6884136</v>
      </c>
      <c r="G51" s="18">
        <f t="shared" si="71"/>
        <v>5536651</v>
      </c>
      <c r="H51" s="18">
        <f t="shared" si="71"/>
        <v>542012</v>
      </c>
      <c r="I51" s="18">
        <f t="shared" si="71"/>
        <v>390617</v>
      </c>
      <c r="J51" s="18">
        <f t="shared" si="71"/>
        <v>0</v>
      </c>
      <c r="K51" s="18">
        <f t="shared" si="71"/>
        <v>0</v>
      </c>
      <c r="L51" s="18">
        <f t="shared" si="71"/>
        <v>0</v>
      </c>
      <c r="M51" s="18">
        <f t="shared" si="71"/>
        <v>0</v>
      </c>
      <c r="N51" s="18">
        <f t="shared" si="71"/>
        <v>334240</v>
      </c>
      <c r="O51" s="18">
        <f t="shared" si="71"/>
        <v>56377</v>
      </c>
      <c r="P51" s="18">
        <f t="shared" si="71"/>
        <v>0</v>
      </c>
      <c r="Q51" s="18">
        <f t="shared" si="71"/>
        <v>0</v>
      </c>
      <c r="R51" s="18">
        <f t="shared" si="71"/>
        <v>0</v>
      </c>
      <c r="S51" s="18">
        <f t="shared" si="71"/>
        <v>0</v>
      </c>
      <c r="T51" s="18">
        <f t="shared" si="71"/>
        <v>87069</v>
      </c>
      <c r="U51" s="18">
        <f t="shared" si="71"/>
        <v>68800</v>
      </c>
      <c r="V51" s="18">
        <f t="shared" si="71"/>
        <v>22889</v>
      </c>
      <c r="W51" s="18">
        <f t="shared" si="71"/>
        <v>0</v>
      </c>
      <c r="X51" s="18">
        <f t="shared" si="71"/>
        <v>32944</v>
      </c>
      <c r="Y51" s="18">
        <f t="shared" si="71"/>
        <v>3780</v>
      </c>
      <c r="Z51" s="18">
        <f t="shared" si="71"/>
        <v>0</v>
      </c>
      <c r="AA51" s="18">
        <f t="shared" si="71"/>
        <v>0</v>
      </c>
      <c r="AB51" s="18">
        <f t="shared" si="71"/>
        <v>0</v>
      </c>
      <c r="AC51" s="18">
        <f t="shared" si="71"/>
        <v>9187</v>
      </c>
      <c r="AD51" s="18">
        <f t="shared" si="71"/>
        <v>0</v>
      </c>
      <c r="AE51" s="18">
        <f t="shared" si="71"/>
        <v>258987</v>
      </c>
      <c r="AF51" s="18">
        <f t="shared" si="71"/>
        <v>0</v>
      </c>
      <c r="AG51" s="18">
        <f t="shared" si="71"/>
        <v>0</v>
      </c>
      <c r="AH51" s="18">
        <f t="shared" si="71"/>
        <v>11250</v>
      </c>
      <c r="AI51" s="18">
        <f t="shared" si="71"/>
        <v>26250</v>
      </c>
      <c r="AJ51" s="18">
        <f t="shared" si="71"/>
        <v>0</v>
      </c>
      <c r="AK51" s="18">
        <f t="shared" si="71"/>
        <v>3750</v>
      </c>
      <c r="AL51" s="18">
        <f t="shared" si="70"/>
        <v>0</v>
      </c>
      <c r="AM51" s="18">
        <f t="shared" si="70"/>
        <v>450</v>
      </c>
      <c r="AN51" s="18">
        <f t="shared" si="70"/>
        <v>0</v>
      </c>
      <c r="AO51" s="18">
        <f t="shared" si="70"/>
        <v>33756</v>
      </c>
      <c r="AP51" s="18">
        <f t="shared" si="70"/>
        <v>0</v>
      </c>
      <c r="AQ51" s="18">
        <f t="shared" si="70"/>
        <v>0</v>
      </c>
      <c r="AR51" s="18">
        <f t="shared" si="70"/>
        <v>46994</v>
      </c>
      <c r="AS51" s="18">
        <f t="shared" si="70"/>
        <v>10137</v>
      </c>
      <c r="AT51" s="18"/>
      <c r="AU51" s="18"/>
      <c r="AV51" s="18">
        <f t="shared" si="70"/>
        <v>0</v>
      </c>
      <c r="AW51" s="18">
        <f t="shared" si="70"/>
        <v>0</v>
      </c>
      <c r="AX51" s="18">
        <f t="shared" si="70"/>
        <v>56400</v>
      </c>
      <c r="AY51" s="18"/>
      <c r="AZ51" s="18">
        <f t="shared" si="70"/>
        <v>70000</v>
      </c>
      <c r="BA51" s="18">
        <f t="shared" si="70"/>
        <v>27605</v>
      </c>
      <c r="BB51" s="18">
        <f t="shared" si="70"/>
        <v>0</v>
      </c>
      <c r="BC51" s="18">
        <f t="shared" si="70"/>
        <v>0</v>
      </c>
      <c r="BD51" s="18">
        <f t="shared" si="70"/>
        <v>0</v>
      </c>
      <c r="BE51" s="18">
        <f t="shared" si="70"/>
        <v>0</v>
      </c>
      <c r="BF51" s="18">
        <f t="shared" si="70"/>
        <v>0</v>
      </c>
      <c r="BG51" s="18">
        <f t="shared" si="70"/>
        <v>0</v>
      </c>
      <c r="BH51" s="18">
        <f t="shared" si="70"/>
        <v>0</v>
      </c>
      <c r="BI51" s="18">
        <f t="shared" si="70"/>
        <v>0</v>
      </c>
      <c r="BJ51" s="18">
        <f t="shared" si="70"/>
        <v>0</v>
      </c>
      <c r="BK51" s="18">
        <f t="shared" si="70"/>
        <v>0</v>
      </c>
      <c r="BL51" s="18">
        <f t="shared" si="70"/>
        <v>0</v>
      </c>
      <c r="BM51" s="18">
        <f t="shared" si="70"/>
        <v>0</v>
      </c>
      <c r="BN51" s="18">
        <f t="shared" si="70"/>
        <v>27605</v>
      </c>
      <c r="BO51" s="18">
        <f t="shared" si="70"/>
        <v>0</v>
      </c>
      <c r="BP51" s="18">
        <f t="shared" si="70"/>
        <v>0</v>
      </c>
      <c r="BQ51" s="18">
        <f t="shared" si="70"/>
        <v>0</v>
      </c>
      <c r="BR51" s="18">
        <f t="shared" si="70"/>
        <v>0</v>
      </c>
      <c r="BS51" s="18">
        <f t="shared" si="70"/>
        <v>0</v>
      </c>
      <c r="BT51" s="18">
        <f t="shared" si="70"/>
        <v>0</v>
      </c>
      <c r="BU51" s="18">
        <f t="shared" si="70"/>
        <v>0</v>
      </c>
      <c r="BV51" s="18">
        <f t="shared" si="70"/>
        <v>0</v>
      </c>
      <c r="BW51" s="18">
        <f t="shared" si="70"/>
        <v>0</v>
      </c>
      <c r="BX51" s="18">
        <f t="shared" si="70"/>
        <v>27605</v>
      </c>
      <c r="BY51" s="18">
        <f t="shared" si="70"/>
        <v>0</v>
      </c>
      <c r="BZ51" s="18">
        <f t="shared" si="70"/>
        <v>20000</v>
      </c>
      <c r="CA51" s="18">
        <f t="shared" si="70"/>
        <v>20000</v>
      </c>
      <c r="CB51" s="18">
        <f t="shared" si="70"/>
        <v>20000</v>
      </c>
      <c r="CC51" s="18">
        <f t="shared" si="70"/>
        <v>0</v>
      </c>
      <c r="CD51" s="18">
        <f t="shared" si="70"/>
        <v>20000</v>
      </c>
      <c r="CE51" s="18">
        <f t="shared" si="70"/>
        <v>0</v>
      </c>
      <c r="CF51" s="18">
        <f t="shared" si="70"/>
        <v>0</v>
      </c>
      <c r="CG51" s="18">
        <f t="shared" si="70"/>
        <v>0</v>
      </c>
      <c r="CH51" s="18">
        <f t="shared" si="70"/>
        <v>0</v>
      </c>
      <c r="CI51" s="18">
        <f t="shared" si="70"/>
        <v>0</v>
      </c>
      <c r="CJ51" s="18">
        <f t="shared" si="70"/>
        <v>0</v>
      </c>
      <c r="CK51" s="18">
        <f t="shared" si="70"/>
        <v>0</v>
      </c>
      <c r="CL51" s="18">
        <f t="shared" si="70"/>
        <v>0</v>
      </c>
      <c r="CM51" s="18">
        <f t="shared" si="70"/>
        <v>0</v>
      </c>
      <c r="CN51" s="18"/>
      <c r="CO51" s="18">
        <f t="shared" si="70"/>
        <v>0</v>
      </c>
      <c r="CP51" s="74"/>
      <c r="CQ51" s="74"/>
      <c r="CR51" s="74"/>
      <c r="CS51" s="18">
        <f t="shared" si="70"/>
        <v>0</v>
      </c>
      <c r="CT51" s="18">
        <f t="shared" si="70"/>
        <v>0</v>
      </c>
      <c r="CU51" s="18">
        <f t="shared" si="70"/>
        <v>0</v>
      </c>
      <c r="CV51" s="46">
        <f t="shared" si="70"/>
        <v>0</v>
      </c>
      <c r="CW51" s="57"/>
    </row>
    <row r="52" spans="1:101" ht="15.6" x14ac:dyDescent="0.3">
      <c r="A52" s="105" t="s">
        <v>1</v>
      </c>
      <c r="B52" s="21" t="s">
        <v>105</v>
      </c>
      <c r="C52" s="22" t="s">
        <v>106</v>
      </c>
      <c r="D52" s="19">
        <f>SUM(E52+BZ52+CS52)</f>
        <v>6931741</v>
      </c>
      <c r="E52" s="19">
        <f>SUM(F52+BA52)</f>
        <v>6911741</v>
      </c>
      <c r="F52" s="19">
        <f>SUM(G52+H52+I52+P52+S52+T52+U52+AE52+AD52)</f>
        <v>6884136</v>
      </c>
      <c r="G52" s="23">
        <f>4838651+698000</f>
        <v>5536651</v>
      </c>
      <c r="H52" s="23">
        <v>542012</v>
      </c>
      <c r="I52" s="19">
        <f t="shared" si="7"/>
        <v>390617</v>
      </c>
      <c r="J52" s="23">
        <v>0</v>
      </c>
      <c r="K52" s="19">
        <v>0</v>
      </c>
      <c r="L52" s="19">
        <v>0</v>
      </c>
      <c r="M52" s="19">
        <v>0</v>
      </c>
      <c r="N52" s="23">
        <v>334240</v>
      </c>
      <c r="O52" s="23">
        <v>56377</v>
      </c>
      <c r="P52" s="19">
        <f t="shared" si="8"/>
        <v>0</v>
      </c>
      <c r="Q52" s="19">
        <v>0</v>
      </c>
      <c r="R52" s="19">
        <v>0</v>
      </c>
      <c r="S52" s="19">
        <v>0</v>
      </c>
      <c r="T52" s="23">
        <v>87069</v>
      </c>
      <c r="U52" s="19">
        <f>SUM(V52:AC52)</f>
        <v>68800</v>
      </c>
      <c r="V52" s="23">
        <v>22889</v>
      </c>
      <c r="W52" s="23">
        <v>0</v>
      </c>
      <c r="X52" s="23">
        <v>32944</v>
      </c>
      <c r="Y52" s="23">
        <v>3780</v>
      </c>
      <c r="Z52" s="23">
        <v>0</v>
      </c>
      <c r="AA52" s="23">
        <v>0</v>
      </c>
      <c r="AB52" s="23">
        <v>0</v>
      </c>
      <c r="AC52" s="23">
        <v>9187</v>
      </c>
      <c r="AD52" s="19">
        <v>0</v>
      </c>
      <c r="AE52" s="19">
        <f>SUM(AF52:AZ52)</f>
        <v>258987</v>
      </c>
      <c r="AF52" s="19">
        <v>0</v>
      </c>
      <c r="AG52" s="19">
        <v>0</v>
      </c>
      <c r="AH52" s="23">
        <v>11250</v>
      </c>
      <c r="AI52" s="23">
        <v>26250</v>
      </c>
      <c r="AJ52" s="23">
        <v>0</v>
      </c>
      <c r="AK52" s="23">
        <v>3750</v>
      </c>
      <c r="AL52" s="23">
        <v>0</v>
      </c>
      <c r="AM52" s="23">
        <v>450</v>
      </c>
      <c r="AN52" s="23">
        <v>0</v>
      </c>
      <c r="AO52" s="23">
        <v>33756</v>
      </c>
      <c r="AP52" s="23">
        <v>0</v>
      </c>
      <c r="AQ52" s="23">
        <v>0</v>
      </c>
      <c r="AR52" s="23">
        <v>46994</v>
      </c>
      <c r="AS52" s="23">
        <v>10137</v>
      </c>
      <c r="AT52" s="23">
        <v>0</v>
      </c>
      <c r="AU52" s="23">
        <v>0</v>
      </c>
      <c r="AV52" s="23">
        <v>0</v>
      </c>
      <c r="AW52" s="23">
        <v>0</v>
      </c>
      <c r="AX52" s="23">
        <v>56400</v>
      </c>
      <c r="AY52" s="23">
        <v>0</v>
      </c>
      <c r="AZ52" s="23">
        <v>70000</v>
      </c>
      <c r="BA52" s="19">
        <f>SUM(BB52+BF52+BI52+BK52+BN52)</f>
        <v>27605</v>
      </c>
      <c r="BB52" s="19">
        <f>SUM(BC52:BE52)</f>
        <v>0</v>
      </c>
      <c r="BC52" s="19">
        <v>0</v>
      </c>
      <c r="BD52" s="19">
        <v>0</v>
      </c>
      <c r="BE52" s="19">
        <v>0</v>
      </c>
      <c r="BF52" s="19">
        <f>SUM(BH52:BH52)</f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f t="shared" si="9"/>
        <v>0</v>
      </c>
      <c r="BL52" s="19">
        <v>0</v>
      </c>
      <c r="BM52" s="19">
        <v>0</v>
      </c>
      <c r="BN52" s="19">
        <f>SUM(BO52:BY52)</f>
        <v>27605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84">
        <v>27605</v>
      </c>
      <c r="BY52" s="19">
        <v>0</v>
      </c>
      <c r="BZ52" s="19">
        <f>SUM(CA52+CO52)</f>
        <v>20000</v>
      </c>
      <c r="CA52" s="19">
        <f>SUM(CB52+CE52+CK52)</f>
        <v>20000</v>
      </c>
      <c r="CB52" s="19">
        <f t="shared" si="10"/>
        <v>20000</v>
      </c>
      <c r="CC52" s="19">
        <v>0</v>
      </c>
      <c r="CD52" s="23">
        <v>20000</v>
      </c>
      <c r="CE52" s="19">
        <f>SUM(CF52:CJ52)</f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f>SUM(CL52:CN52)</f>
        <v>0</v>
      </c>
      <c r="CL52" s="19">
        <v>0</v>
      </c>
      <c r="CM52" s="19">
        <v>0</v>
      </c>
      <c r="CN52" s="19"/>
      <c r="CO52" s="19">
        <v>0</v>
      </c>
      <c r="CP52" s="75"/>
      <c r="CQ52" s="75"/>
      <c r="CR52" s="75"/>
      <c r="CS52" s="19">
        <f t="shared" si="11"/>
        <v>0</v>
      </c>
      <c r="CT52" s="19">
        <f t="shared" si="12"/>
        <v>0</v>
      </c>
      <c r="CU52" s="19">
        <v>0</v>
      </c>
      <c r="CV52" s="20">
        <v>0</v>
      </c>
      <c r="CW52" s="52"/>
    </row>
    <row r="53" spans="1:101" s="58" customFormat="1" ht="15.6" x14ac:dyDescent="0.3">
      <c r="A53" s="104" t="s">
        <v>107</v>
      </c>
      <c r="B53" s="16" t="s">
        <v>1</v>
      </c>
      <c r="C53" s="17" t="s">
        <v>493</v>
      </c>
      <c r="D53" s="18">
        <f t="shared" ref="D53:AK53" si="72">SUM(D54)</f>
        <v>568649</v>
      </c>
      <c r="E53" s="18">
        <f t="shared" si="72"/>
        <v>568649</v>
      </c>
      <c r="F53" s="18">
        <f t="shared" si="72"/>
        <v>568649</v>
      </c>
      <c r="G53" s="18">
        <f t="shared" si="72"/>
        <v>0</v>
      </c>
      <c r="H53" s="18">
        <f t="shared" si="72"/>
        <v>0</v>
      </c>
      <c r="I53" s="18">
        <f t="shared" si="72"/>
        <v>0</v>
      </c>
      <c r="J53" s="18">
        <f t="shared" si="72"/>
        <v>0</v>
      </c>
      <c r="K53" s="18">
        <f t="shared" si="72"/>
        <v>0</v>
      </c>
      <c r="L53" s="18">
        <f t="shared" si="72"/>
        <v>0</v>
      </c>
      <c r="M53" s="18">
        <f t="shared" si="72"/>
        <v>0</v>
      </c>
      <c r="N53" s="18">
        <f t="shared" si="72"/>
        <v>0</v>
      </c>
      <c r="O53" s="18">
        <f t="shared" si="72"/>
        <v>0</v>
      </c>
      <c r="P53" s="18">
        <f t="shared" si="72"/>
        <v>0</v>
      </c>
      <c r="Q53" s="18">
        <f t="shared" si="72"/>
        <v>0</v>
      </c>
      <c r="R53" s="18">
        <f t="shared" si="72"/>
        <v>0</v>
      </c>
      <c r="S53" s="18">
        <f t="shared" si="72"/>
        <v>0</v>
      </c>
      <c r="T53" s="18">
        <f t="shared" si="72"/>
        <v>0</v>
      </c>
      <c r="U53" s="18">
        <f t="shared" si="72"/>
        <v>0</v>
      </c>
      <c r="V53" s="18">
        <f t="shared" si="72"/>
        <v>0</v>
      </c>
      <c r="W53" s="18">
        <f t="shared" si="72"/>
        <v>0</v>
      </c>
      <c r="X53" s="18">
        <f t="shared" si="72"/>
        <v>0</v>
      </c>
      <c r="Y53" s="18">
        <f t="shared" si="72"/>
        <v>0</v>
      </c>
      <c r="Z53" s="18">
        <f t="shared" si="72"/>
        <v>0</v>
      </c>
      <c r="AA53" s="18">
        <f t="shared" si="72"/>
        <v>0</v>
      </c>
      <c r="AB53" s="18">
        <f t="shared" si="72"/>
        <v>0</v>
      </c>
      <c r="AC53" s="18">
        <f t="shared" si="72"/>
        <v>0</v>
      </c>
      <c r="AD53" s="18">
        <f t="shared" si="72"/>
        <v>0</v>
      </c>
      <c r="AE53" s="18">
        <f t="shared" si="72"/>
        <v>568649</v>
      </c>
      <c r="AF53" s="18">
        <f t="shared" si="72"/>
        <v>0</v>
      </c>
      <c r="AG53" s="18">
        <f t="shared" si="72"/>
        <v>0</v>
      </c>
      <c r="AH53" s="18">
        <f t="shared" si="72"/>
        <v>0</v>
      </c>
      <c r="AI53" s="18">
        <f t="shared" si="72"/>
        <v>0</v>
      </c>
      <c r="AJ53" s="18">
        <f t="shared" si="72"/>
        <v>0</v>
      </c>
      <c r="AK53" s="18">
        <f t="shared" si="72"/>
        <v>0</v>
      </c>
      <c r="AL53" s="18">
        <f t="shared" ref="AL53:CV53" si="73">SUM(AL54)</f>
        <v>0</v>
      </c>
      <c r="AM53" s="18">
        <f t="shared" si="73"/>
        <v>0</v>
      </c>
      <c r="AN53" s="18">
        <f t="shared" si="73"/>
        <v>0</v>
      </c>
      <c r="AO53" s="18">
        <f t="shared" si="73"/>
        <v>0</v>
      </c>
      <c r="AP53" s="18">
        <f t="shared" si="73"/>
        <v>0</v>
      </c>
      <c r="AQ53" s="18">
        <f t="shared" si="73"/>
        <v>0</v>
      </c>
      <c r="AR53" s="18">
        <f t="shared" si="73"/>
        <v>0</v>
      </c>
      <c r="AS53" s="18">
        <f t="shared" si="73"/>
        <v>0</v>
      </c>
      <c r="AT53" s="18">
        <f t="shared" si="73"/>
        <v>563649</v>
      </c>
      <c r="AU53" s="18">
        <f t="shared" si="73"/>
        <v>0</v>
      </c>
      <c r="AV53" s="18">
        <f t="shared" si="73"/>
        <v>0</v>
      </c>
      <c r="AW53" s="18">
        <f t="shared" si="73"/>
        <v>0</v>
      </c>
      <c r="AX53" s="18">
        <f t="shared" si="73"/>
        <v>0</v>
      </c>
      <c r="AY53" s="18"/>
      <c r="AZ53" s="18">
        <f t="shared" si="73"/>
        <v>5000</v>
      </c>
      <c r="BA53" s="18">
        <f t="shared" si="73"/>
        <v>0</v>
      </c>
      <c r="BB53" s="18">
        <f t="shared" si="73"/>
        <v>0</v>
      </c>
      <c r="BC53" s="18">
        <f t="shared" si="73"/>
        <v>0</v>
      </c>
      <c r="BD53" s="18">
        <f t="shared" si="73"/>
        <v>0</v>
      </c>
      <c r="BE53" s="18">
        <f t="shared" si="73"/>
        <v>0</v>
      </c>
      <c r="BF53" s="18">
        <f t="shared" si="73"/>
        <v>0</v>
      </c>
      <c r="BG53" s="18">
        <f t="shared" si="73"/>
        <v>0</v>
      </c>
      <c r="BH53" s="18">
        <f t="shared" si="73"/>
        <v>0</v>
      </c>
      <c r="BI53" s="18">
        <f t="shared" si="73"/>
        <v>0</v>
      </c>
      <c r="BJ53" s="18">
        <f t="shared" si="73"/>
        <v>0</v>
      </c>
      <c r="BK53" s="18">
        <f t="shared" si="73"/>
        <v>0</v>
      </c>
      <c r="BL53" s="18">
        <f t="shared" si="73"/>
        <v>0</v>
      </c>
      <c r="BM53" s="18">
        <f t="shared" si="73"/>
        <v>0</v>
      </c>
      <c r="BN53" s="18">
        <f t="shared" si="73"/>
        <v>0</v>
      </c>
      <c r="BO53" s="18">
        <f t="shared" si="73"/>
        <v>0</v>
      </c>
      <c r="BP53" s="18">
        <f t="shared" si="73"/>
        <v>0</v>
      </c>
      <c r="BQ53" s="18">
        <f t="shared" si="73"/>
        <v>0</v>
      </c>
      <c r="BR53" s="18">
        <f t="shared" si="73"/>
        <v>0</v>
      </c>
      <c r="BS53" s="18">
        <f t="shared" si="73"/>
        <v>0</v>
      </c>
      <c r="BT53" s="18">
        <f t="shared" si="73"/>
        <v>0</v>
      </c>
      <c r="BU53" s="18">
        <f t="shared" si="73"/>
        <v>0</v>
      </c>
      <c r="BV53" s="18">
        <f t="shared" si="73"/>
        <v>0</v>
      </c>
      <c r="BW53" s="18">
        <f t="shared" si="73"/>
        <v>0</v>
      </c>
      <c r="BX53" s="18">
        <f t="shared" si="73"/>
        <v>0</v>
      </c>
      <c r="BY53" s="18">
        <f t="shared" si="73"/>
        <v>0</v>
      </c>
      <c r="BZ53" s="18">
        <f t="shared" si="73"/>
        <v>0</v>
      </c>
      <c r="CA53" s="18">
        <f t="shared" si="73"/>
        <v>0</v>
      </c>
      <c r="CB53" s="18">
        <f t="shared" si="73"/>
        <v>0</v>
      </c>
      <c r="CC53" s="18">
        <f t="shared" si="73"/>
        <v>0</v>
      </c>
      <c r="CD53" s="18">
        <f t="shared" si="73"/>
        <v>0</v>
      </c>
      <c r="CE53" s="18">
        <f t="shared" si="73"/>
        <v>0</v>
      </c>
      <c r="CF53" s="18">
        <f t="shared" si="73"/>
        <v>0</v>
      </c>
      <c r="CG53" s="18">
        <f t="shared" si="73"/>
        <v>0</v>
      </c>
      <c r="CH53" s="18">
        <f t="shared" si="73"/>
        <v>0</v>
      </c>
      <c r="CI53" s="18">
        <f t="shared" si="73"/>
        <v>0</v>
      </c>
      <c r="CJ53" s="18">
        <f t="shared" si="73"/>
        <v>0</v>
      </c>
      <c r="CK53" s="18">
        <f t="shared" si="73"/>
        <v>0</v>
      </c>
      <c r="CL53" s="18">
        <f t="shared" si="73"/>
        <v>0</v>
      </c>
      <c r="CM53" s="18">
        <f t="shared" si="73"/>
        <v>0</v>
      </c>
      <c r="CN53" s="18"/>
      <c r="CO53" s="18">
        <f t="shared" si="73"/>
        <v>0</v>
      </c>
      <c r="CP53" s="74"/>
      <c r="CQ53" s="74"/>
      <c r="CR53" s="74"/>
      <c r="CS53" s="18">
        <f t="shared" si="73"/>
        <v>0</v>
      </c>
      <c r="CT53" s="18">
        <f t="shared" si="73"/>
        <v>0</v>
      </c>
      <c r="CU53" s="18">
        <f t="shared" si="73"/>
        <v>0</v>
      </c>
      <c r="CV53" s="46">
        <f t="shared" si="73"/>
        <v>0</v>
      </c>
      <c r="CW53" s="57"/>
    </row>
    <row r="54" spans="1:101" ht="15.6" x14ac:dyDescent="0.3">
      <c r="A54" s="105" t="s">
        <v>1</v>
      </c>
      <c r="B54" s="21" t="s">
        <v>102</v>
      </c>
      <c r="C54" s="22" t="s">
        <v>108</v>
      </c>
      <c r="D54" s="19">
        <f>SUM(E54+BZ54+CS54)</f>
        <v>568649</v>
      </c>
      <c r="E54" s="19">
        <f>SUM(F54+BA54)</f>
        <v>568649</v>
      </c>
      <c r="F54" s="19">
        <f>SUM(G54+H54+I54+P54+S54+T54+U54+AE54+AD54)</f>
        <v>568649</v>
      </c>
      <c r="G54" s="19">
        <v>0</v>
      </c>
      <c r="H54" s="19">
        <v>0</v>
      </c>
      <c r="I54" s="19">
        <f t="shared" si="7"/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8"/>
        <v>0</v>
      </c>
      <c r="Q54" s="19">
        <v>0</v>
      </c>
      <c r="R54" s="19">
        <v>0</v>
      </c>
      <c r="S54" s="19">
        <v>0</v>
      </c>
      <c r="T54" s="19">
        <v>0</v>
      </c>
      <c r="U54" s="19">
        <f>SUM(V54:AC54)</f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f>SUM(AF54:AZ54)</f>
        <v>568649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563649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5000</v>
      </c>
      <c r="BA54" s="19">
        <f>SUM(BB54+BF54+BI54+BK54+BN54)</f>
        <v>0</v>
      </c>
      <c r="BB54" s="19">
        <f>SUM(BC54:BE54)</f>
        <v>0</v>
      </c>
      <c r="BC54" s="19">
        <v>0</v>
      </c>
      <c r="BD54" s="19">
        <v>0</v>
      </c>
      <c r="BE54" s="19">
        <v>0</v>
      </c>
      <c r="BF54" s="19">
        <f>SUM(BH54:BH54)</f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f t="shared" si="9"/>
        <v>0</v>
      </c>
      <c r="BL54" s="19">
        <v>0</v>
      </c>
      <c r="BM54" s="19">
        <v>0</v>
      </c>
      <c r="BN54" s="19">
        <f>SUM(BO54:BY54)</f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f>SUM(CA54+CO54)</f>
        <v>0</v>
      </c>
      <c r="CA54" s="19">
        <f>SUM(CB54+CE54+CK54)</f>
        <v>0</v>
      </c>
      <c r="CB54" s="19">
        <f t="shared" si="10"/>
        <v>0</v>
      </c>
      <c r="CC54" s="19">
        <v>0</v>
      </c>
      <c r="CD54" s="19">
        <v>0</v>
      </c>
      <c r="CE54" s="19">
        <f>SUM(CF54:CJ54)</f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f>SUM(CL54:CN54)</f>
        <v>0</v>
      </c>
      <c r="CL54" s="19">
        <v>0</v>
      </c>
      <c r="CM54" s="19">
        <v>0</v>
      </c>
      <c r="CN54" s="19"/>
      <c r="CO54" s="19">
        <v>0</v>
      </c>
      <c r="CP54" s="75"/>
      <c r="CQ54" s="75"/>
      <c r="CR54" s="75"/>
      <c r="CS54" s="19">
        <f t="shared" si="11"/>
        <v>0</v>
      </c>
      <c r="CT54" s="19">
        <f t="shared" si="12"/>
        <v>0</v>
      </c>
      <c r="CU54" s="19">
        <v>0</v>
      </c>
      <c r="CV54" s="20">
        <v>0</v>
      </c>
      <c r="CW54" s="52"/>
    </row>
    <row r="55" spans="1:101" s="58" customFormat="1" ht="15.6" x14ac:dyDescent="0.3">
      <c r="A55" s="106" t="s">
        <v>109</v>
      </c>
      <c r="B55" s="25" t="s">
        <v>1</v>
      </c>
      <c r="C55" s="26" t="s">
        <v>110</v>
      </c>
      <c r="D55" s="27">
        <f>SUM(D56)</f>
        <v>4141865</v>
      </c>
      <c r="E55" s="27">
        <f t="shared" ref="E55:BM55" si="74">SUM(E56)</f>
        <v>4130865</v>
      </c>
      <c r="F55" s="27">
        <f t="shared" si="74"/>
        <v>4130865</v>
      </c>
      <c r="G55" s="27">
        <f t="shared" si="74"/>
        <v>2412907</v>
      </c>
      <c r="H55" s="27">
        <f t="shared" si="74"/>
        <v>603227</v>
      </c>
      <c r="I55" s="27">
        <f t="shared" si="74"/>
        <v>225203</v>
      </c>
      <c r="J55" s="27">
        <f t="shared" si="74"/>
        <v>0</v>
      </c>
      <c r="K55" s="27">
        <f t="shared" si="74"/>
        <v>0</v>
      </c>
      <c r="L55" s="27">
        <f t="shared" si="74"/>
        <v>0</v>
      </c>
      <c r="M55" s="27">
        <f t="shared" si="74"/>
        <v>0</v>
      </c>
      <c r="N55" s="27">
        <f t="shared" si="74"/>
        <v>181541</v>
      </c>
      <c r="O55" s="27">
        <f t="shared" si="74"/>
        <v>43662</v>
      </c>
      <c r="P55" s="27">
        <f t="shared" si="74"/>
        <v>112517</v>
      </c>
      <c r="Q55" s="27">
        <f t="shared" si="74"/>
        <v>0</v>
      </c>
      <c r="R55" s="27">
        <f t="shared" si="74"/>
        <v>112517</v>
      </c>
      <c r="S55" s="27">
        <f t="shared" si="74"/>
        <v>0</v>
      </c>
      <c r="T55" s="27">
        <f t="shared" si="74"/>
        <v>35991</v>
      </c>
      <c r="U55" s="27">
        <f t="shared" si="74"/>
        <v>486370</v>
      </c>
      <c r="V55" s="27">
        <f t="shared" si="74"/>
        <v>0</v>
      </c>
      <c r="W55" s="27">
        <f t="shared" si="74"/>
        <v>0</v>
      </c>
      <c r="X55" s="27">
        <f t="shared" si="74"/>
        <v>0</v>
      </c>
      <c r="Y55" s="27">
        <f t="shared" si="74"/>
        <v>0</v>
      </c>
      <c r="Z55" s="27">
        <f t="shared" si="74"/>
        <v>0</v>
      </c>
      <c r="AA55" s="27">
        <f t="shared" si="74"/>
        <v>486370</v>
      </c>
      <c r="AB55" s="27">
        <f t="shared" si="74"/>
        <v>0</v>
      </c>
      <c r="AC55" s="27">
        <f t="shared" si="74"/>
        <v>0</v>
      </c>
      <c r="AD55" s="27">
        <f t="shared" si="74"/>
        <v>0</v>
      </c>
      <c r="AE55" s="27">
        <f t="shared" si="74"/>
        <v>254650</v>
      </c>
      <c r="AF55" s="27">
        <f t="shared" si="74"/>
        <v>0</v>
      </c>
      <c r="AG55" s="27">
        <f t="shared" si="74"/>
        <v>0</v>
      </c>
      <c r="AH55" s="27">
        <f t="shared" si="74"/>
        <v>0</v>
      </c>
      <c r="AI55" s="27">
        <f t="shared" si="74"/>
        <v>0</v>
      </c>
      <c r="AJ55" s="27">
        <f t="shared" si="74"/>
        <v>0</v>
      </c>
      <c r="AK55" s="27">
        <f t="shared" si="74"/>
        <v>1000</v>
      </c>
      <c r="AL55" s="27">
        <f t="shared" si="74"/>
        <v>0</v>
      </c>
      <c r="AM55" s="27">
        <f t="shared" si="74"/>
        <v>0</v>
      </c>
      <c r="AN55" s="27">
        <f t="shared" si="74"/>
        <v>0</v>
      </c>
      <c r="AO55" s="27">
        <f t="shared" si="74"/>
        <v>125823</v>
      </c>
      <c r="AP55" s="27">
        <f t="shared" si="74"/>
        <v>0</v>
      </c>
      <c r="AQ55" s="27">
        <f t="shared" si="74"/>
        <v>0</v>
      </c>
      <c r="AR55" s="27">
        <f t="shared" si="74"/>
        <v>0</v>
      </c>
      <c r="AS55" s="27">
        <f t="shared" si="74"/>
        <v>0</v>
      </c>
      <c r="AT55" s="27">
        <f t="shared" si="74"/>
        <v>0</v>
      </c>
      <c r="AU55" s="27">
        <f t="shared" si="74"/>
        <v>0</v>
      </c>
      <c r="AV55" s="27">
        <f t="shared" si="74"/>
        <v>0</v>
      </c>
      <c r="AW55" s="27">
        <f t="shared" si="74"/>
        <v>0</v>
      </c>
      <c r="AX55" s="27">
        <f t="shared" si="74"/>
        <v>31248</v>
      </c>
      <c r="AY55" s="27">
        <f t="shared" si="74"/>
        <v>0</v>
      </c>
      <c r="AZ55" s="27">
        <f t="shared" si="74"/>
        <v>96579</v>
      </c>
      <c r="BA55" s="27">
        <f t="shared" si="74"/>
        <v>0</v>
      </c>
      <c r="BB55" s="27">
        <f t="shared" si="74"/>
        <v>0</v>
      </c>
      <c r="BC55" s="27">
        <f t="shared" si="74"/>
        <v>0</v>
      </c>
      <c r="BD55" s="27">
        <f t="shared" si="74"/>
        <v>0</v>
      </c>
      <c r="BE55" s="27">
        <f t="shared" si="74"/>
        <v>0</v>
      </c>
      <c r="BF55" s="27">
        <f t="shared" si="74"/>
        <v>0</v>
      </c>
      <c r="BG55" s="27">
        <f t="shared" si="74"/>
        <v>0</v>
      </c>
      <c r="BH55" s="27">
        <f t="shared" si="74"/>
        <v>0</v>
      </c>
      <c r="BI55" s="27">
        <f t="shared" si="74"/>
        <v>0</v>
      </c>
      <c r="BJ55" s="27">
        <f t="shared" si="74"/>
        <v>0</v>
      </c>
      <c r="BK55" s="27">
        <f t="shared" si="74"/>
        <v>0</v>
      </c>
      <c r="BL55" s="27">
        <f t="shared" si="74"/>
        <v>0</v>
      </c>
      <c r="BM55" s="27">
        <f t="shared" si="74"/>
        <v>0</v>
      </c>
      <c r="BN55" s="27">
        <f t="shared" ref="BN55:CU55" si="75">SUM(BN56)</f>
        <v>0</v>
      </c>
      <c r="BO55" s="27">
        <f t="shared" si="75"/>
        <v>0</v>
      </c>
      <c r="BP55" s="27">
        <f t="shared" si="75"/>
        <v>0</v>
      </c>
      <c r="BQ55" s="27">
        <f t="shared" si="75"/>
        <v>0</v>
      </c>
      <c r="BR55" s="27">
        <f t="shared" si="75"/>
        <v>0</v>
      </c>
      <c r="BS55" s="27">
        <f t="shared" si="75"/>
        <v>0</v>
      </c>
      <c r="BT55" s="27">
        <f t="shared" si="75"/>
        <v>0</v>
      </c>
      <c r="BU55" s="27">
        <f t="shared" si="75"/>
        <v>0</v>
      </c>
      <c r="BV55" s="27">
        <f t="shared" si="75"/>
        <v>0</v>
      </c>
      <c r="BW55" s="27">
        <f t="shared" si="75"/>
        <v>0</v>
      </c>
      <c r="BX55" s="27">
        <f t="shared" si="75"/>
        <v>0</v>
      </c>
      <c r="BY55" s="27">
        <f t="shared" si="75"/>
        <v>0</v>
      </c>
      <c r="BZ55" s="27">
        <f t="shared" si="75"/>
        <v>11000</v>
      </c>
      <c r="CA55" s="27">
        <f t="shared" si="75"/>
        <v>11000</v>
      </c>
      <c r="CB55" s="27">
        <f t="shared" si="75"/>
        <v>11000</v>
      </c>
      <c r="CC55" s="27">
        <f t="shared" si="75"/>
        <v>0</v>
      </c>
      <c r="CD55" s="27">
        <f t="shared" si="75"/>
        <v>11000</v>
      </c>
      <c r="CE55" s="27">
        <f t="shared" si="75"/>
        <v>0</v>
      </c>
      <c r="CF55" s="27">
        <f t="shared" si="75"/>
        <v>0</v>
      </c>
      <c r="CG55" s="27">
        <f t="shared" si="75"/>
        <v>0</v>
      </c>
      <c r="CH55" s="27">
        <f t="shared" si="75"/>
        <v>0</v>
      </c>
      <c r="CI55" s="27">
        <f t="shared" si="75"/>
        <v>0</v>
      </c>
      <c r="CJ55" s="27">
        <f t="shared" si="75"/>
        <v>0</v>
      </c>
      <c r="CK55" s="27">
        <f t="shared" si="75"/>
        <v>0</v>
      </c>
      <c r="CL55" s="27">
        <f t="shared" si="75"/>
        <v>0</v>
      </c>
      <c r="CM55" s="27">
        <f t="shared" si="75"/>
        <v>0</v>
      </c>
      <c r="CN55" s="27">
        <f t="shared" si="75"/>
        <v>0</v>
      </c>
      <c r="CO55" s="27">
        <f t="shared" si="75"/>
        <v>0</v>
      </c>
      <c r="CP55" s="27">
        <f t="shared" si="75"/>
        <v>0</v>
      </c>
      <c r="CQ55" s="27">
        <f t="shared" si="75"/>
        <v>0</v>
      </c>
      <c r="CR55" s="27">
        <f t="shared" si="75"/>
        <v>0</v>
      </c>
      <c r="CS55" s="27">
        <f t="shared" si="75"/>
        <v>0</v>
      </c>
      <c r="CT55" s="27">
        <f t="shared" si="75"/>
        <v>0</v>
      </c>
      <c r="CU55" s="27">
        <f t="shared" si="75"/>
        <v>0</v>
      </c>
      <c r="CV55" s="60">
        <f>SUM(CV56)</f>
        <v>0</v>
      </c>
      <c r="CW55" s="57"/>
    </row>
    <row r="56" spans="1:101" s="58" customFormat="1" ht="15.6" x14ac:dyDescent="0.3">
      <c r="A56" s="104" t="s">
        <v>111</v>
      </c>
      <c r="B56" s="16" t="s">
        <v>1</v>
      </c>
      <c r="C56" s="17" t="s">
        <v>112</v>
      </c>
      <c r="D56" s="18">
        <f t="shared" ref="D56:BQ56" si="76">SUM(D57)</f>
        <v>4141865</v>
      </c>
      <c r="E56" s="18">
        <f t="shared" si="76"/>
        <v>4130865</v>
      </c>
      <c r="F56" s="18">
        <f t="shared" si="76"/>
        <v>4130865</v>
      </c>
      <c r="G56" s="18">
        <f t="shared" si="76"/>
        <v>2412907</v>
      </c>
      <c r="H56" s="18">
        <f t="shared" si="76"/>
        <v>603227</v>
      </c>
      <c r="I56" s="18">
        <f t="shared" si="76"/>
        <v>225203</v>
      </c>
      <c r="J56" s="18">
        <f t="shared" si="76"/>
        <v>0</v>
      </c>
      <c r="K56" s="18">
        <f t="shared" si="76"/>
        <v>0</v>
      </c>
      <c r="L56" s="18">
        <f t="shared" si="76"/>
        <v>0</v>
      </c>
      <c r="M56" s="18">
        <f t="shared" si="76"/>
        <v>0</v>
      </c>
      <c r="N56" s="18">
        <f t="shared" si="76"/>
        <v>181541</v>
      </c>
      <c r="O56" s="18">
        <f t="shared" si="76"/>
        <v>43662</v>
      </c>
      <c r="P56" s="18">
        <f t="shared" si="76"/>
        <v>112517</v>
      </c>
      <c r="Q56" s="18">
        <f t="shared" si="76"/>
        <v>0</v>
      </c>
      <c r="R56" s="18">
        <f t="shared" si="76"/>
        <v>112517</v>
      </c>
      <c r="S56" s="18">
        <f t="shared" si="76"/>
        <v>0</v>
      </c>
      <c r="T56" s="18">
        <f t="shared" si="76"/>
        <v>35991</v>
      </c>
      <c r="U56" s="18">
        <f t="shared" si="76"/>
        <v>486370</v>
      </c>
      <c r="V56" s="18">
        <f t="shared" si="76"/>
        <v>0</v>
      </c>
      <c r="W56" s="18">
        <f t="shared" si="76"/>
        <v>0</v>
      </c>
      <c r="X56" s="18">
        <f t="shared" si="76"/>
        <v>0</v>
      </c>
      <c r="Y56" s="18">
        <f t="shared" si="76"/>
        <v>0</v>
      </c>
      <c r="Z56" s="18">
        <f t="shared" si="76"/>
        <v>0</v>
      </c>
      <c r="AA56" s="18">
        <f t="shared" si="76"/>
        <v>486370</v>
      </c>
      <c r="AB56" s="18">
        <f t="shared" si="76"/>
        <v>0</v>
      </c>
      <c r="AC56" s="18">
        <f t="shared" si="76"/>
        <v>0</v>
      </c>
      <c r="AD56" s="18">
        <f t="shared" si="76"/>
        <v>0</v>
      </c>
      <c r="AE56" s="18">
        <f t="shared" si="76"/>
        <v>254650</v>
      </c>
      <c r="AF56" s="18">
        <f t="shared" si="76"/>
        <v>0</v>
      </c>
      <c r="AG56" s="18">
        <f t="shared" si="76"/>
        <v>0</v>
      </c>
      <c r="AH56" s="18">
        <f t="shared" si="76"/>
        <v>0</v>
      </c>
      <c r="AI56" s="18">
        <f t="shared" si="76"/>
        <v>0</v>
      </c>
      <c r="AJ56" s="18">
        <f t="shared" si="76"/>
        <v>0</v>
      </c>
      <c r="AK56" s="18">
        <f t="shared" si="76"/>
        <v>1000</v>
      </c>
      <c r="AL56" s="18">
        <f t="shared" si="76"/>
        <v>0</v>
      </c>
      <c r="AM56" s="18">
        <f t="shared" si="76"/>
        <v>0</v>
      </c>
      <c r="AN56" s="18">
        <f t="shared" si="76"/>
        <v>0</v>
      </c>
      <c r="AO56" s="18">
        <f t="shared" si="76"/>
        <v>125823</v>
      </c>
      <c r="AP56" s="18">
        <f t="shared" si="76"/>
        <v>0</v>
      </c>
      <c r="AQ56" s="18">
        <f t="shared" si="76"/>
        <v>0</v>
      </c>
      <c r="AR56" s="18">
        <f t="shared" si="76"/>
        <v>0</v>
      </c>
      <c r="AS56" s="18">
        <f t="shared" si="76"/>
        <v>0</v>
      </c>
      <c r="AT56" s="18"/>
      <c r="AU56" s="18"/>
      <c r="AV56" s="18">
        <f t="shared" si="76"/>
        <v>0</v>
      </c>
      <c r="AW56" s="18">
        <f t="shared" si="76"/>
        <v>0</v>
      </c>
      <c r="AX56" s="18">
        <f t="shared" si="76"/>
        <v>31248</v>
      </c>
      <c r="AY56" s="18"/>
      <c r="AZ56" s="18">
        <f t="shared" si="76"/>
        <v>96579</v>
      </c>
      <c r="BA56" s="18">
        <f t="shared" si="76"/>
        <v>0</v>
      </c>
      <c r="BB56" s="18">
        <f t="shared" si="76"/>
        <v>0</v>
      </c>
      <c r="BC56" s="18">
        <f t="shared" si="76"/>
        <v>0</v>
      </c>
      <c r="BD56" s="18">
        <f t="shared" si="76"/>
        <v>0</v>
      </c>
      <c r="BE56" s="18">
        <f t="shared" si="76"/>
        <v>0</v>
      </c>
      <c r="BF56" s="18">
        <f t="shared" si="76"/>
        <v>0</v>
      </c>
      <c r="BG56" s="18">
        <f t="shared" si="76"/>
        <v>0</v>
      </c>
      <c r="BH56" s="18">
        <f t="shared" si="76"/>
        <v>0</v>
      </c>
      <c r="BI56" s="18">
        <f t="shared" si="76"/>
        <v>0</v>
      </c>
      <c r="BJ56" s="18">
        <f t="shared" si="76"/>
        <v>0</v>
      </c>
      <c r="BK56" s="18">
        <f t="shared" si="76"/>
        <v>0</v>
      </c>
      <c r="BL56" s="18">
        <f t="shared" si="76"/>
        <v>0</v>
      </c>
      <c r="BM56" s="18">
        <f t="shared" si="76"/>
        <v>0</v>
      </c>
      <c r="BN56" s="18">
        <f t="shared" si="76"/>
        <v>0</v>
      </c>
      <c r="BO56" s="18">
        <f t="shared" si="76"/>
        <v>0</v>
      </c>
      <c r="BP56" s="18">
        <f t="shared" si="76"/>
        <v>0</v>
      </c>
      <c r="BQ56" s="18">
        <f t="shared" si="76"/>
        <v>0</v>
      </c>
      <c r="BR56" s="18">
        <f t="shared" ref="BR56:CV56" si="77">SUM(BR57)</f>
        <v>0</v>
      </c>
      <c r="BS56" s="18">
        <f t="shared" si="77"/>
        <v>0</v>
      </c>
      <c r="BT56" s="18">
        <f t="shared" si="77"/>
        <v>0</v>
      </c>
      <c r="BU56" s="18">
        <f t="shared" si="77"/>
        <v>0</v>
      </c>
      <c r="BV56" s="18">
        <f t="shared" si="77"/>
        <v>0</v>
      </c>
      <c r="BW56" s="18">
        <f t="shared" si="77"/>
        <v>0</v>
      </c>
      <c r="BX56" s="18">
        <f t="shared" si="77"/>
        <v>0</v>
      </c>
      <c r="BY56" s="18">
        <f t="shared" si="77"/>
        <v>0</v>
      </c>
      <c r="BZ56" s="18">
        <f t="shared" si="77"/>
        <v>11000</v>
      </c>
      <c r="CA56" s="18">
        <f t="shared" si="77"/>
        <v>11000</v>
      </c>
      <c r="CB56" s="18">
        <f t="shared" si="77"/>
        <v>11000</v>
      </c>
      <c r="CC56" s="18">
        <f t="shared" si="77"/>
        <v>0</v>
      </c>
      <c r="CD56" s="18">
        <f t="shared" si="77"/>
        <v>11000</v>
      </c>
      <c r="CE56" s="18">
        <f t="shared" si="77"/>
        <v>0</v>
      </c>
      <c r="CF56" s="18">
        <f t="shared" si="77"/>
        <v>0</v>
      </c>
      <c r="CG56" s="18">
        <f t="shared" si="77"/>
        <v>0</v>
      </c>
      <c r="CH56" s="18">
        <f t="shared" si="77"/>
        <v>0</v>
      </c>
      <c r="CI56" s="18">
        <f t="shared" si="77"/>
        <v>0</v>
      </c>
      <c r="CJ56" s="18">
        <f t="shared" si="77"/>
        <v>0</v>
      </c>
      <c r="CK56" s="18">
        <f t="shared" si="77"/>
        <v>0</v>
      </c>
      <c r="CL56" s="18">
        <f t="shared" si="77"/>
        <v>0</v>
      </c>
      <c r="CM56" s="18">
        <f t="shared" si="77"/>
        <v>0</v>
      </c>
      <c r="CN56" s="18"/>
      <c r="CO56" s="18">
        <f t="shared" si="77"/>
        <v>0</v>
      </c>
      <c r="CP56" s="74"/>
      <c r="CQ56" s="74"/>
      <c r="CR56" s="74"/>
      <c r="CS56" s="18">
        <f t="shared" si="77"/>
        <v>0</v>
      </c>
      <c r="CT56" s="18">
        <f t="shared" si="77"/>
        <v>0</v>
      </c>
      <c r="CU56" s="18">
        <f t="shared" si="77"/>
        <v>0</v>
      </c>
      <c r="CV56" s="46">
        <f t="shared" si="77"/>
        <v>0</v>
      </c>
      <c r="CW56" s="57"/>
    </row>
    <row r="57" spans="1:101" ht="31.2" x14ac:dyDescent="0.3">
      <c r="A57" s="105" t="s">
        <v>1</v>
      </c>
      <c r="B57" s="21" t="s">
        <v>64</v>
      </c>
      <c r="C57" s="22" t="s">
        <v>113</v>
      </c>
      <c r="D57" s="19">
        <f>SUM(E57+BZ57+CS57)</f>
        <v>4141865</v>
      </c>
      <c r="E57" s="19">
        <f>SUM(F57+BA57)</f>
        <v>4130865</v>
      </c>
      <c r="F57" s="19">
        <f>SUM(G57+H57+I57+P57+S57+T57+U57+AE57+AD57)</f>
        <v>4130865</v>
      </c>
      <c r="G57" s="23">
        <v>2412907</v>
      </c>
      <c r="H57" s="23">
        <v>603227</v>
      </c>
      <c r="I57" s="19">
        <f t="shared" si="7"/>
        <v>225203</v>
      </c>
      <c r="J57" s="19">
        <v>0</v>
      </c>
      <c r="K57" s="19">
        <v>0</v>
      </c>
      <c r="L57" s="19">
        <v>0</v>
      </c>
      <c r="M57" s="19">
        <v>0</v>
      </c>
      <c r="N57" s="23">
        <v>181541</v>
      </c>
      <c r="O57" s="23">
        <v>43662</v>
      </c>
      <c r="P57" s="19">
        <f t="shared" si="8"/>
        <v>112517</v>
      </c>
      <c r="Q57" s="19">
        <v>0</v>
      </c>
      <c r="R57" s="23">
        <v>112517</v>
      </c>
      <c r="S57" s="23">
        <v>0</v>
      </c>
      <c r="T57" s="23">
        <v>35991</v>
      </c>
      <c r="U57" s="19">
        <f>SUM(V57:AC57)</f>
        <v>486370</v>
      </c>
      <c r="V57" s="23"/>
      <c r="W57" s="23"/>
      <c r="X57" s="23"/>
      <c r="Y57" s="23"/>
      <c r="Z57" s="23"/>
      <c r="AA57" s="23">
        <v>486370</v>
      </c>
      <c r="AB57" s="19">
        <v>0</v>
      </c>
      <c r="AC57" s="19">
        <v>0</v>
      </c>
      <c r="AD57" s="19">
        <v>0</v>
      </c>
      <c r="AE57" s="19">
        <f>SUM(AF57:AZ57)</f>
        <v>254650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23">
        <v>1000</v>
      </c>
      <c r="AL57" s="19">
        <v>0</v>
      </c>
      <c r="AM57" s="19">
        <v>0</v>
      </c>
      <c r="AN57" s="19">
        <v>0</v>
      </c>
      <c r="AO57" s="23">
        <v>125823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23">
        <v>31248</v>
      </c>
      <c r="AY57" s="23">
        <v>0</v>
      </c>
      <c r="AZ57" s="23">
        <v>96579</v>
      </c>
      <c r="BA57" s="19">
        <f>SUM(BB57+BF57+BI57+BK57+BN57)</f>
        <v>0</v>
      </c>
      <c r="BB57" s="19">
        <f>SUM(BC57:BE57)</f>
        <v>0</v>
      </c>
      <c r="BC57" s="19">
        <v>0</v>
      </c>
      <c r="BD57" s="19">
        <v>0</v>
      </c>
      <c r="BE57" s="19">
        <v>0</v>
      </c>
      <c r="BF57" s="19">
        <f>SUM(BH57:BH57)</f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f t="shared" si="9"/>
        <v>0</v>
      </c>
      <c r="BL57" s="19">
        <v>0</v>
      </c>
      <c r="BM57" s="19">
        <v>0</v>
      </c>
      <c r="BN57" s="19">
        <f>SUM(BO57:BY57)</f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f>SUM(CA57+CO57)</f>
        <v>11000</v>
      </c>
      <c r="CA57" s="19">
        <f>SUM(CB57+CE57+CK57)</f>
        <v>11000</v>
      </c>
      <c r="CB57" s="19">
        <f t="shared" si="10"/>
        <v>11000</v>
      </c>
      <c r="CC57" s="19">
        <v>0</v>
      </c>
      <c r="CD57" s="23">
        <v>11000</v>
      </c>
      <c r="CE57" s="19">
        <f>SUM(CF57:CJ57)</f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f>SUM(CL57:CN57)</f>
        <v>0</v>
      </c>
      <c r="CL57" s="19">
        <v>0</v>
      </c>
      <c r="CM57" s="19">
        <v>0</v>
      </c>
      <c r="CN57" s="19"/>
      <c r="CO57" s="19">
        <v>0</v>
      </c>
      <c r="CP57" s="75"/>
      <c r="CQ57" s="75"/>
      <c r="CR57" s="75"/>
      <c r="CS57" s="19">
        <f t="shared" si="11"/>
        <v>0</v>
      </c>
      <c r="CT57" s="19">
        <f t="shared" si="12"/>
        <v>0</v>
      </c>
      <c r="CU57" s="19">
        <v>0</v>
      </c>
      <c r="CV57" s="20">
        <v>0</v>
      </c>
      <c r="CW57" s="52"/>
    </row>
    <row r="58" spans="1:101" s="58" customFormat="1" ht="15.6" x14ac:dyDescent="0.3">
      <c r="A58" s="106" t="s">
        <v>114</v>
      </c>
      <c r="B58" s="25" t="s">
        <v>1</v>
      </c>
      <c r="C58" s="26" t="s">
        <v>115</v>
      </c>
      <c r="D58" s="27">
        <f t="shared" ref="D58:BQ58" si="78">SUM(D59+D61)</f>
        <v>339278247</v>
      </c>
      <c r="E58" s="27">
        <f t="shared" si="78"/>
        <v>307185618</v>
      </c>
      <c r="F58" s="27">
        <f t="shared" si="78"/>
        <v>299389913</v>
      </c>
      <c r="G58" s="27">
        <f t="shared" si="78"/>
        <v>158897484</v>
      </c>
      <c r="H58" s="27">
        <f t="shared" si="78"/>
        <v>7409657</v>
      </c>
      <c r="I58" s="27">
        <f t="shared" si="78"/>
        <v>100523695</v>
      </c>
      <c r="J58" s="27">
        <f t="shared" si="78"/>
        <v>236293</v>
      </c>
      <c r="K58" s="27">
        <f t="shared" si="78"/>
        <v>34592097</v>
      </c>
      <c r="L58" s="27">
        <f t="shared" si="78"/>
        <v>22745283</v>
      </c>
      <c r="M58" s="27">
        <f t="shared" si="78"/>
        <v>8409900</v>
      </c>
      <c r="N58" s="27">
        <f t="shared" si="78"/>
        <v>23895702</v>
      </c>
      <c r="O58" s="27">
        <f t="shared" si="78"/>
        <v>10644420</v>
      </c>
      <c r="P58" s="27">
        <f t="shared" si="78"/>
        <v>145817</v>
      </c>
      <c r="Q58" s="27">
        <f t="shared" si="78"/>
        <v>54776</v>
      </c>
      <c r="R58" s="27">
        <f t="shared" si="78"/>
        <v>91041</v>
      </c>
      <c r="S58" s="27">
        <f t="shared" si="78"/>
        <v>0</v>
      </c>
      <c r="T58" s="27">
        <f t="shared" si="78"/>
        <v>560711</v>
      </c>
      <c r="U58" s="27">
        <f t="shared" si="78"/>
        <v>7886038</v>
      </c>
      <c r="V58" s="27">
        <f t="shared" si="78"/>
        <v>1051505</v>
      </c>
      <c r="W58" s="27">
        <f t="shared" si="78"/>
        <v>2178031</v>
      </c>
      <c r="X58" s="27">
        <f t="shared" si="78"/>
        <v>3311158</v>
      </c>
      <c r="Y58" s="27">
        <f t="shared" si="78"/>
        <v>1039078</v>
      </c>
      <c r="Z58" s="27">
        <f t="shared" si="78"/>
        <v>45500</v>
      </c>
      <c r="AA58" s="27">
        <f t="shared" si="78"/>
        <v>0</v>
      </c>
      <c r="AB58" s="27">
        <f t="shared" si="78"/>
        <v>0</v>
      </c>
      <c r="AC58" s="27">
        <f t="shared" si="78"/>
        <v>260766</v>
      </c>
      <c r="AD58" s="27">
        <f t="shared" si="78"/>
        <v>0</v>
      </c>
      <c r="AE58" s="27">
        <f t="shared" si="78"/>
        <v>23966511</v>
      </c>
      <c r="AF58" s="27">
        <f t="shared" si="78"/>
        <v>0</v>
      </c>
      <c r="AG58" s="27">
        <f t="shared" si="78"/>
        <v>0</v>
      </c>
      <c r="AH58" s="27">
        <f t="shared" si="78"/>
        <v>306938</v>
      </c>
      <c r="AI58" s="27">
        <f t="shared" si="78"/>
        <v>2247827</v>
      </c>
      <c r="AJ58" s="27">
        <f t="shared" si="78"/>
        <v>0</v>
      </c>
      <c r="AK58" s="27">
        <f t="shared" si="78"/>
        <v>8500</v>
      </c>
      <c r="AL58" s="27">
        <f t="shared" si="78"/>
        <v>0</v>
      </c>
      <c r="AM58" s="27">
        <f t="shared" si="78"/>
        <v>41966</v>
      </c>
      <c r="AN58" s="27">
        <f t="shared" si="78"/>
        <v>84323</v>
      </c>
      <c r="AO58" s="27">
        <f t="shared" si="78"/>
        <v>54714</v>
      </c>
      <c r="AP58" s="27">
        <f t="shared" si="78"/>
        <v>86932</v>
      </c>
      <c r="AQ58" s="27">
        <f t="shared" si="78"/>
        <v>9124211</v>
      </c>
      <c r="AR58" s="27">
        <f t="shared" si="78"/>
        <v>116136</v>
      </c>
      <c r="AS58" s="27">
        <f t="shared" si="78"/>
        <v>0</v>
      </c>
      <c r="AT58" s="27"/>
      <c r="AU58" s="27"/>
      <c r="AV58" s="27">
        <f t="shared" si="78"/>
        <v>0</v>
      </c>
      <c r="AW58" s="27">
        <f t="shared" si="78"/>
        <v>8437861</v>
      </c>
      <c r="AX58" s="27">
        <f t="shared" si="78"/>
        <v>1418</v>
      </c>
      <c r="AY58" s="27"/>
      <c r="AZ58" s="27">
        <f t="shared" si="78"/>
        <v>3455685</v>
      </c>
      <c r="BA58" s="27">
        <f t="shared" si="78"/>
        <v>7795705</v>
      </c>
      <c r="BB58" s="27">
        <f t="shared" si="78"/>
        <v>0</v>
      </c>
      <c r="BC58" s="27">
        <f t="shared" si="78"/>
        <v>0</v>
      </c>
      <c r="BD58" s="27">
        <f t="shared" si="78"/>
        <v>0</v>
      </c>
      <c r="BE58" s="27">
        <f t="shared" si="78"/>
        <v>0</v>
      </c>
      <c r="BF58" s="27">
        <f t="shared" si="78"/>
        <v>0</v>
      </c>
      <c r="BG58" s="27">
        <f t="shared" si="78"/>
        <v>0</v>
      </c>
      <c r="BH58" s="27">
        <f t="shared" si="78"/>
        <v>0</v>
      </c>
      <c r="BI58" s="27">
        <f t="shared" si="78"/>
        <v>0</v>
      </c>
      <c r="BJ58" s="27">
        <f t="shared" ref="BJ58" si="79">SUM(BJ59+BJ61)</f>
        <v>0</v>
      </c>
      <c r="BK58" s="27">
        <f t="shared" si="78"/>
        <v>338943</v>
      </c>
      <c r="BL58" s="27">
        <f t="shared" si="78"/>
        <v>338943</v>
      </c>
      <c r="BM58" s="27">
        <f t="shared" ref="BM58" si="80">SUM(BM59+BM61)</f>
        <v>0</v>
      </c>
      <c r="BN58" s="27">
        <f t="shared" si="78"/>
        <v>7456762</v>
      </c>
      <c r="BO58" s="27">
        <f t="shared" si="78"/>
        <v>0</v>
      </c>
      <c r="BP58" s="27">
        <f t="shared" si="78"/>
        <v>0</v>
      </c>
      <c r="BQ58" s="27">
        <f t="shared" si="78"/>
        <v>0</v>
      </c>
      <c r="BR58" s="27">
        <f t="shared" ref="BR58:CV58" si="81">SUM(BR59+BR61)</f>
        <v>0</v>
      </c>
      <c r="BS58" s="27">
        <f t="shared" si="81"/>
        <v>0</v>
      </c>
      <c r="BT58" s="27">
        <f t="shared" si="81"/>
        <v>0</v>
      </c>
      <c r="BU58" s="27">
        <f t="shared" si="81"/>
        <v>0</v>
      </c>
      <c r="BV58" s="27">
        <f t="shared" si="81"/>
        <v>0</v>
      </c>
      <c r="BW58" s="27">
        <f t="shared" si="81"/>
        <v>0</v>
      </c>
      <c r="BX58" s="27">
        <f t="shared" si="81"/>
        <v>6409626</v>
      </c>
      <c r="BY58" s="27">
        <f t="shared" si="81"/>
        <v>1047136</v>
      </c>
      <c r="BZ58" s="27">
        <f t="shared" si="81"/>
        <v>32092629</v>
      </c>
      <c r="CA58" s="27">
        <f t="shared" si="81"/>
        <v>32092629</v>
      </c>
      <c r="CB58" s="27">
        <f t="shared" si="81"/>
        <v>14589488</v>
      </c>
      <c r="CC58" s="27">
        <f t="shared" si="81"/>
        <v>0</v>
      </c>
      <c r="CD58" s="27">
        <f t="shared" si="81"/>
        <v>14589488</v>
      </c>
      <c r="CE58" s="27">
        <f t="shared" si="81"/>
        <v>0</v>
      </c>
      <c r="CF58" s="27">
        <f t="shared" si="81"/>
        <v>0</v>
      </c>
      <c r="CG58" s="27">
        <f t="shared" ref="CG58:CH58" si="82">SUM(CG59+CG61)</f>
        <v>0</v>
      </c>
      <c r="CH58" s="27">
        <f t="shared" si="82"/>
        <v>0</v>
      </c>
      <c r="CI58" s="27">
        <f t="shared" si="81"/>
        <v>0</v>
      </c>
      <c r="CJ58" s="27">
        <f t="shared" ref="CJ58" si="83">SUM(CJ59+CJ61)</f>
        <v>0</v>
      </c>
      <c r="CK58" s="27">
        <f t="shared" si="81"/>
        <v>17503141</v>
      </c>
      <c r="CL58" s="27">
        <f t="shared" ref="CL58" si="84">SUM(CL59+CL61)</f>
        <v>0</v>
      </c>
      <c r="CM58" s="27">
        <f t="shared" si="81"/>
        <v>17503141</v>
      </c>
      <c r="CN58" s="27"/>
      <c r="CO58" s="27">
        <f t="shared" si="81"/>
        <v>0</v>
      </c>
      <c r="CP58" s="27">
        <f t="shared" si="81"/>
        <v>0</v>
      </c>
      <c r="CQ58" s="27">
        <f t="shared" si="81"/>
        <v>0</v>
      </c>
      <c r="CR58" s="27">
        <f t="shared" si="81"/>
        <v>0</v>
      </c>
      <c r="CS58" s="27">
        <f t="shared" si="81"/>
        <v>0</v>
      </c>
      <c r="CT58" s="27">
        <f t="shared" si="81"/>
        <v>0</v>
      </c>
      <c r="CU58" s="27">
        <f t="shared" si="81"/>
        <v>0</v>
      </c>
      <c r="CV58" s="60">
        <f t="shared" si="81"/>
        <v>0</v>
      </c>
      <c r="CW58" s="57"/>
    </row>
    <row r="59" spans="1:101" s="58" customFormat="1" ht="15.6" x14ac:dyDescent="0.3">
      <c r="A59" s="104" t="s">
        <v>116</v>
      </c>
      <c r="B59" s="16" t="s">
        <v>1</v>
      </c>
      <c r="C59" s="17" t="s">
        <v>117</v>
      </c>
      <c r="D59" s="18">
        <f t="shared" ref="D59:BQ59" si="85">SUM(D60)</f>
        <v>292213223</v>
      </c>
      <c r="E59" s="18">
        <f t="shared" si="85"/>
        <v>262760434</v>
      </c>
      <c r="F59" s="18">
        <f t="shared" si="85"/>
        <v>259659547</v>
      </c>
      <c r="G59" s="18">
        <f t="shared" si="85"/>
        <v>128725845</v>
      </c>
      <c r="H59" s="18">
        <f t="shared" si="85"/>
        <v>7155565</v>
      </c>
      <c r="I59" s="18">
        <f t="shared" si="85"/>
        <v>93784514</v>
      </c>
      <c r="J59" s="18">
        <f t="shared" si="85"/>
        <v>192763</v>
      </c>
      <c r="K59" s="18">
        <f t="shared" si="85"/>
        <v>33563030</v>
      </c>
      <c r="L59" s="18">
        <f t="shared" si="85"/>
        <v>21469269</v>
      </c>
      <c r="M59" s="18">
        <f t="shared" si="85"/>
        <v>8409900</v>
      </c>
      <c r="N59" s="18">
        <f t="shared" si="85"/>
        <v>20271110</v>
      </c>
      <c r="O59" s="18">
        <f t="shared" si="85"/>
        <v>9878442</v>
      </c>
      <c r="P59" s="18">
        <f t="shared" si="85"/>
        <v>0</v>
      </c>
      <c r="Q59" s="18">
        <f t="shared" si="85"/>
        <v>0</v>
      </c>
      <c r="R59" s="18">
        <f t="shared" si="85"/>
        <v>0</v>
      </c>
      <c r="S59" s="18">
        <f t="shared" si="85"/>
        <v>0</v>
      </c>
      <c r="T59" s="18">
        <f t="shared" si="85"/>
        <v>497256</v>
      </c>
      <c r="U59" s="18">
        <f t="shared" si="85"/>
        <v>7875538</v>
      </c>
      <c r="V59" s="18">
        <f t="shared" si="85"/>
        <v>1041005</v>
      </c>
      <c r="W59" s="18">
        <f t="shared" si="85"/>
        <v>2178031</v>
      </c>
      <c r="X59" s="18">
        <f t="shared" si="85"/>
        <v>3311158</v>
      </c>
      <c r="Y59" s="18">
        <f t="shared" si="85"/>
        <v>1039078</v>
      </c>
      <c r="Z59" s="18">
        <f t="shared" si="85"/>
        <v>45500</v>
      </c>
      <c r="AA59" s="18">
        <f t="shared" si="85"/>
        <v>0</v>
      </c>
      <c r="AB59" s="18">
        <f t="shared" si="85"/>
        <v>0</v>
      </c>
      <c r="AC59" s="18">
        <f t="shared" si="85"/>
        <v>260766</v>
      </c>
      <c r="AD59" s="18">
        <f t="shared" si="85"/>
        <v>0</v>
      </c>
      <c r="AE59" s="18">
        <f t="shared" si="85"/>
        <v>21620829</v>
      </c>
      <c r="AF59" s="18">
        <f t="shared" si="85"/>
        <v>0</v>
      </c>
      <c r="AG59" s="18">
        <f t="shared" si="85"/>
        <v>0</v>
      </c>
      <c r="AH59" s="18">
        <f t="shared" si="85"/>
        <v>300938</v>
      </c>
      <c r="AI59" s="18">
        <f t="shared" si="85"/>
        <v>1947827</v>
      </c>
      <c r="AJ59" s="18">
        <f t="shared" si="85"/>
        <v>0</v>
      </c>
      <c r="AK59" s="18">
        <f t="shared" si="85"/>
        <v>8500</v>
      </c>
      <c r="AL59" s="18">
        <f t="shared" si="85"/>
        <v>0</v>
      </c>
      <c r="AM59" s="18">
        <f t="shared" si="85"/>
        <v>41966</v>
      </c>
      <c r="AN59" s="18">
        <f t="shared" si="85"/>
        <v>74323</v>
      </c>
      <c r="AO59" s="18">
        <f t="shared" si="85"/>
        <v>25032</v>
      </c>
      <c r="AP59" s="18">
        <f t="shared" si="85"/>
        <v>86932</v>
      </c>
      <c r="AQ59" s="18">
        <f t="shared" si="85"/>
        <v>9124211</v>
      </c>
      <c r="AR59" s="18">
        <f t="shared" si="85"/>
        <v>116136</v>
      </c>
      <c r="AS59" s="18">
        <f t="shared" si="85"/>
        <v>0</v>
      </c>
      <c r="AT59" s="18"/>
      <c r="AU59" s="18"/>
      <c r="AV59" s="18">
        <f t="shared" si="85"/>
        <v>0</v>
      </c>
      <c r="AW59" s="18">
        <f t="shared" si="85"/>
        <v>6437861</v>
      </c>
      <c r="AX59" s="18">
        <f t="shared" si="85"/>
        <v>1418</v>
      </c>
      <c r="AY59" s="18"/>
      <c r="AZ59" s="18">
        <f t="shared" si="85"/>
        <v>3455685</v>
      </c>
      <c r="BA59" s="18">
        <f t="shared" si="85"/>
        <v>3100887</v>
      </c>
      <c r="BB59" s="18">
        <f t="shared" si="85"/>
        <v>0</v>
      </c>
      <c r="BC59" s="18">
        <f t="shared" si="85"/>
        <v>0</v>
      </c>
      <c r="BD59" s="18">
        <f t="shared" si="85"/>
        <v>0</v>
      </c>
      <c r="BE59" s="18">
        <f t="shared" si="85"/>
        <v>0</v>
      </c>
      <c r="BF59" s="18">
        <f t="shared" si="85"/>
        <v>0</v>
      </c>
      <c r="BG59" s="18">
        <f t="shared" si="85"/>
        <v>0</v>
      </c>
      <c r="BH59" s="18">
        <f t="shared" si="85"/>
        <v>0</v>
      </c>
      <c r="BI59" s="18">
        <f t="shared" si="85"/>
        <v>0</v>
      </c>
      <c r="BJ59" s="18">
        <f t="shared" si="85"/>
        <v>0</v>
      </c>
      <c r="BK59" s="18">
        <f t="shared" si="85"/>
        <v>338943</v>
      </c>
      <c r="BL59" s="18">
        <f t="shared" si="85"/>
        <v>338943</v>
      </c>
      <c r="BM59" s="18">
        <f t="shared" si="85"/>
        <v>0</v>
      </c>
      <c r="BN59" s="18">
        <f t="shared" si="85"/>
        <v>2761944</v>
      </c>
      <c r="BO59" s="18">
        <f t="shared" si="85"/>
        <v>0</v>
      </c>
      <c r="BP59" s="18">
        <f t="shared" si="85"/>
        <v>0</v>
      </c>
      <c r="BQ59" s="18">
        <f t="shared" si="85"/>
        <v>0</v>
      </c>
      <c r="BR59" s="18">
        <f t="shared" ref="BR59:CV59" si="86">SUM(BR60)</f>
        <v>0</v>
      </c>
      <c r="BS59" s="18">
        <f t="shared" si="86"/>
        <v>0</v>
      </c>
      <c r="BT59" s="18">
        <f t="shared" si="86"/>
        <v>0</v>
      </c>
      <c r="BU59" s="18">
        <f t="shared" si="86"/>
        <v>0</v>
      </c>
      <c r="BV59" s="18">
        <f t="shared" si="86"/>
        <v>0</v>
      </c>
      <c r="BW59" s="18">
        <f t="shared" si="86"/>
        <v>0</v>
      </c>
      <c r="BX59" s="18">
        <f t="shared" si="86"/>
        <v>2409626</v>
      </c>
      <c r="BY59" s="18">
        <f t="shared" si="86"/>
        <v>352318</v>
      </c>
      <c r="BZ59" s="18">
        <f t="shared" si="86"/>
        <v>29452789</v>
      </c>
      <c r="CA59" s="18">
        <f t="shared" si="86"/>
        <v>29452789</v>
      </c>
      <c r="CB59" s="18">
        <f t="shared" si="86"/>
        <v>13024809</v>
      </c>
      <c r="CC59" s="18">
        <f t="shared" si="86"/>
        <v>0</v>
      </c>
      <c r="CD59" s="18">
        <f t="shared" si="86"/>
        <v>13024809</v>
      </c>
      <c r="CE59" s="18">
        <f t="shared" si="86"/>
        <v>0</v>
      </c>
      <c r="CF59" s="18">
        <f t="shared" si="86"/>
        <v>0</v>
      </c>
      <c r="CG59" s="18">
        <f t="shared" si="86"/>
        <v>0</v>
      </c>
      <c r="CH59" s="18">
        <f t="shared" si="86"/>
        <v>0</v>
      </c>
      <c r="CI59" s="18">
        <f t="shared" si="86"/>
        <v>0</v>
      </c>
      <c r="CJ59" s="18">
        <f t="shared" si="86"/>
        <v>0</v>
      </c>
      <c r="CK59" s="18">
        <f t="shared" si="86"/>
        <v>16427980</v>
      </c>
      <c r="CL59" s="18">
        <f t="shared" si="86"/>
        <v>0</v>
      </c>
      <c r="CM59" s="18">
        <f t="shared" si="86"/>
        <v>16427980</v>
      </c>
      <c r="CN59" s="18"/>
      <c r="CO59" s="18">
        <f t="shared" si="86"/>
        <v>0</v>
      </c>
      <c r="CP59" s="74"/>
      <c r="CQ59" s="74"/>
      <c r="CR59" s="74"/>
      <c r="CS59" s="18">
        <f t="shared" si="86"/>
        <v>0</v>
      </c>
      <c r="CT59" s="18">
        <f t="shared" si="86"/>
        <v>0</v>
      </c>
      <c r="CU59" s="18">
        <f t="shared" si="86"/>
        <v>0</v>
      </c>
      <c r="CV59" s="46">
        <f t="shared" si="86"/>
        <v>0</v>
      </c>
      <c r="CW59" s="57"/>
    </row>
    <row r="60" spans="1:101" ht="15.6" x14ac:dyDescent="0.3">
      <c r="A60" s="105" t="s">
        <v>1</v>
      </c>
      <c r="B60" s="21" t="s">
        <v>118</v>
      </c>
      <c r="C60" s="22" t="s">
        <v>119</v>
      </c>
      <c r="D60" s="19">
        <f>SUM(E60+BZ60+CS60)</f>
        <v>292213223</v>
      </c>
      <c r="E60" s="19">
        <f>SUM(F60+BA60)</f>
        <v>262760434</v>
      </c>
      <c r="F60" s="19">
        <f>SUM(G60+H60+I60+P60+S60+T60+U60+AE60+AD60)</f>
        <v>259659547</v>
      </c>
      <c r="G60" s="23">
        <v>128725845</v>
      </c>
      <c r="H60" s="23">
        <v>7155565</v>
      </c>
      <c r="I60" s="19">
        <f t="shared" si="7"/>
        <v>93784514</v>
      </c>
      <c r="J60" s="23">
        <v>192763</v>
      </c>
      <c r="K60" s="23">
        <v>33563030</v>
      </c>
      <c r="L60" s="23">
        <v>21469269</v>
      </c>
      <c r="M60" s="23">
        <v>8409900</v>
      </c>
      <c r="N60" s="23">
        <v>20271110</v>
      </c>
      <c r="O60" s="23">
        <v>9878442</v>
      </c>
      <c r="P60" s="19">
        <f t="shared" si="8"/>
        <v>0</v>
      </c>
      <c r="Q60" s="23"/>
      <c r="R60" s="23">
        <v>0</v>
      </c>
      <c r="S60" s="23">
        <v>0</v>
      </c>
      <c r="T60" s="23">
        <v>497256</v>
      </c>
      <c r="U60" s="19">
        <f>SUM(V60:AC60)</f>
        <v>7875538</v>
      </c>
      <c r="V60" s="23">
        <v>1041005</v>
      </c>
      <c r="W60" s="23">
        <v>2178031</v>
      </c>
      <c r="X60" s="23">
        <v>3311158</v>
      </c>
      <c r="Y60" s="23">
        <v>1039078</v>
      </c>
      <c r="Z60" s="23">
        <v>45500</v>
      </c>
      <c r="AA60" s="23">
        <v>0</v>
      </c>
      <c r="AB60" s="23">
        <v>0</v>
      </c>
      <c r="AC60" s="23">
        <v>260766</v>
      </c>
      <c r="AD60" s="19">
        <v>0</v>
      </c>
      <c r="AE60" s="19">
        <f>SUM(AF60:AZ60)</f>
        <v>21620829</v>
      </c>
      <c r="AF60" s="19">
        <v>0</v>
      </c>
      <c r="AG60" s="19">
        <v>0</v>
      </c>
      <c r="AH60" s="23">
        <v>300938</v>
      </c>
      <c r="AI60" s="23">
        <v>1947827</v>
      </c>
      <c r="AJ60" s="23">
        <v>0</v>
      </c>
      <c r="AK60" s="23">
        <v>8500</v>
      </c>
      <c r="AL60" s="23">
        <v>0</v>
      </c>
      <c r="AM60" s="23">
        <v>41966</v>
      </c>
      <c r="AN60" s="23">
        <v>74323</v>
      </c>
      <c r="AO60" s="23">
        <v>25032</v>
      </c>
      <c r="AP60" s="23">
        <v>86932</v>
      </c>
      <c r="AQ60" s="23">
        <v>9124211</v>
      </c>
      <c r="AR60" s="23">
        <v>116136</v>
      </c>
      <c r="AS60" s="23">
        <v>0</v>
      </c>
      <c r="AT60" s="23">
        <v>0</v>
      </c>
      <c r="AU60" s="23">
        <v>0</v>
      </c>
      <c r="AV60" s="23">
        <v>0</v>
      </c>
      <c r="AW60" s="23">
        <v>6437861</v>
      </c>
      <c r="AX60" s="23">
        <v>1418</v>
      </c>
      <c r="AY60" s="23">
        <v>0</v>
      </c>
      <c r="AZ60" s="23">
        <v>3455685</v>
      </c>
      <c r="BA60" s="19">
        <f>SUM(BB60+BF60+BI60+BK60+BN60)</f>
        <v>3100887</v>
      </c>
      <c r="BB60" s="19">
        <f>SUM(BC60:BE60)</f>
        <v>0</v>
      </c>
      <c r="BC60" s="19">
        <v>0</v>
      </c>
      <c r="BD60" s="19">
        <v>0</v>
      </c>
      <c r="BE60" s="19">
        <v>0</v>
      </c>
      <c r="BF60" s="19">
        <f>SUM(BH60:BH60)</f>
        <v>0</v>
      </c>
      <c r="BG60" s="19">
        <v>0</v>
      </c>
      <c r="BH60" s="19">
        <v>0</v>
      </c>
      <c r="BI60" s="19">
        <v>0</v>
      </c>
      <c r="BJ60" s="23"/>
      <c r="BK60" s="19">
        <f t="shared" si="9"/>
        <v>338943</v>
      </c>
      <c r="BL60" s="23">
        <v>338943</v>
      </c>
      <c r="BM60" s="19"/>
      <c r="BN60" s="19">
        <f>SUM(BO60:BY60)</f>
        <v>2761944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23">
        <v>2409626</v>
      </c>
      <c r="BY60" s="23">
        <v>352318</v>
      </c>
      <c r="BZ60" s="19">
        <f>SUM(CA60+CO60)</f>
        <v>29452789</v>
      </c>
      <c r="CA60" s="19">
        <f>SUM(CB60+CE60+CK60)</f>
        <v>29452789</v>
      </c>
      <c r="CB60" s="19">
        <f t="shared" si="10"/>
        <v>13024809</v>
      </c>
      <c r="CC60" s="19">
        <v>0</v>
      </c>
      <c r="CD60" s="23">
        <v>13024809</v>
      </c>
      <c r="CE60" s="19">
        <f>SUM(CF60:CJ60)</f>
        <v>0</v>
      </c>
      <c r="CF60" s="19">
        <v>0</v>
      </c>
      <c r="CG60" s="19"/>
      <c r="CH60" s="19"/>
      <c r="CI60" s="19">
        <v>0</v>
      </c>
      <c r="CJ60" s="19">
        <v>0</v>
      </c>
      <c r="CK60" s="19">
        <f>SUM(CL60:CN60)</f>
        <v>16427980</v>
      </c>
      <c r="CL60" s="19"/>
      <c r="CM60" s="23">
        <v>16427980</v>
      </c>
      <c r="CN60" s="19"/>
      <c r="CO60" s="19">
        <v>0</v>
      </c>
      <c r="CP60" s="75"/>
      <c r="CQ60" s="75"/>
      <c r="CR60" s="75"/>
      <c r="CS60" s="19">
        <f t="shared" si="11"/>
        <v>0</v>
      </c>
      <c r="CT60" s="19">
        <f t="shared" si="12"/>
        <v>0</v>
      </c>
      <c r="CU60" s="19">
        <v>0</v>
      </c>
      <c r="CV60" s="20">
        <v>0</v>
      </c>
      <c r="CW60" s="52"/>
    </row>
    <row r="61" spans="1:101" s="58" customFormat="1" ht="15.6" x14ac:dyDescent="0.3">
      <c r="A61" s="104" t="s">
        <v>120</v>
      </c>
      <c r="B61" s="16" t="s">
        <v>1</v>
      </c>
      <c r="C61" s="17" t="s">
        <v>121</v>
      </c>
      <c r="D61" s="18">
        <f t="shared" ref="D61:AK61" si="87">SUM(D62)</f>
        <v>47065024</v>
      </c>
      <c r="E61" s="18">
        <f t="shared" si="87"/>
        <v>44425184</v>
      </c>
      <c r="F61" s="18">
        <f t="shared" si="87"/>
        <v>39730366</v>
      </c>
      <c r="G61" s="18">
        <f t="shared" si="87"/>
        <v>30171639</v>
      </c>
      <c r="H61" s="18">
        <f t="shared" si="87"/>
        <v>254092</v>
      </c>
      <c r="I61" s="18">
        <f t="shared" si="87"/>
        <v>6739181</v>
      </c>
      <c r="J61" s="18">
        <f t="shared" si="87"/>
        <v>43530</v>
      </c>
      <c r="K61" s="18">
        <f t="shared" si="87"/>
        <v>1029067</v>
      </c>
      <c r="L61" s="18">
        <f t="shared" si="87"/>
        <v>1276014</v>
      </c>
      <c r="M61" s="18">
        <f t="shared" si="87"/>
        <v>0</v>
      </c>
      <c r="N61" s="18">
        <f t="shared" si="87"/>
        <v>3624592</v>
      </c>
      <c r="O61" s="18">
        <f t="shared" si="87"/>
        <v>765978</v>
      </c>
      <c r="P61" s="18">
        <f t="shared" si="87"/>
        <v>145817</v>
      </c>
      <c r="Q61" s="18">
        <f t="shared" si="87"/>
        <v>54776</v>
      </c>
      <c r="R61" s="18">
        <f t="shared" si="87"/>
        <v>91041</v>
      </c>
      <c r="S61" s="18">
        <f t="shared" si="87"/>
        <v>0</v>
      </c>
      <c r="T61" s="18">
        <f t="shared" si="87"/>
        <v>63455</v>
      </c>
      <c r="U61" s="18">
        <f t="shared" si="87"/>
        <v>10500</v>
      </c>
      <c r="V61" s="18">
        <f t="shared" si="87"/>
        <v>10500</v>
      </c>
      <c r="W61" s="18">
        <f t="shared" si="87"/>
        <v>0</v>
      </c>
      <c r="X61" s="18">
        <f t="shared" si="87"/>
        <v>0</v>
      </c>
      <c r="Y61" s="18">
        <f t="shared" si="87"/>
        <v>0</v>
      </c>
      <c r="Z61" s="18">
        <f t="shared" si="87"/>
        <v>0</v>
      </c>
      <c r="AA61" s="18">
        <f t="shared" si="87"/>
        <v>0</v>
      </c>
      <c r="AB61" s="18">
        <f t="shared" si="87"/>
        <v>0</v>
      </c>
      <c r="AC61" s="18">
        <f t="shared" si="87"/>
        <v>0</v>
      </c>
      <c r="AD61" s="18">
        <f t="shared" si="87"/>
        <v>0</v>
      </c>
      <c r="AE61" s="18">
        <f t="shared" si="87"/>
        <v>2345682</v>
      </c>
      <c r="AF61" s="18">
        <f t="shared" si="87"/>
        <v>0</v>
      </c>
      <c r="AG61" s="18">
        <f t="shared" si="87"/>
        <v>0</v>
      </c>
      <c r="AH61" s="18">
        <f t="shared" si="87"/>
        <v>6000</v>
      </c>
      <c r="AI61" s="18">
        <f t="shared" si="87"/>
        <v>300000</v>
      </c>
      <c r="AJ61" s="18">
        <f t="shared" si="87"/>
        <v>0</v>
      </c>
      <c r="AK61" s="18">
        <f t="shared" si="87"/>
        <v>0</v>
      </c>
      <c r="AL61" s="18">
        <f t="shared" ref="AL61:CV61" si="88">SUM(AL62)</f>
        <v>0</v>
      </c>
      <c r="AM61" s="18">
        <f t="shared" si="88"/>
        <v>0</v>
      </c>
      <c r="AN61" s="18">
        <f t="shared" si="88"/>
        <v>10000</v>
      </c>
      <c r="AO61" s="18">
        <f t="shared" si="88"/>
        <v>29682</v>
      </c>
      <c r="AP61" s="18">
        <f t="shared" si="88"/>
        <v>0</v>
      </c>
      <c r="AQ61" s="18">
        <f t="shared" si="88"/>
        <v>0</v>
      </c>
      <c r="AR61" s="18">
        <f t="shared" si="88"/>
        <v>0</v>
      </c>
      <c r="AS61" s="18">
        <f t="shared" si="88"/>
        <v>0</v>
      </c>
      <c r="AT61" s="18"/>
      <c r="AU61" s="18"/>
      <c r="AV61" s="18">
        <f t="shared" si="88"/>
        <v>0</v>
      </c>
      <c r="AW61" s="18">
        <f t="shared" si="88"/>
        <v>2000000</v>
      </c>
      <c r="AX61" s="18">
        <f t="shared" si="88"/>
        <v>0</v>
      </c>
      <c r="AY61" s="18"/>
      <c r="AZ61" s="18">
        <f t="shared" si="88"/>
        <v>0</v>
      </c>
      <c r="BA61" s="18">
        <f t="shared" si="88"/>
        <v>4694818</v>
      </c>
      <c r="BB61" s="18">
        <f t="shared" si="88"/>
        <v>0</v>
      </c>
      <c r="BC61" s="18">
        <f t="shared" si="88"/>
        <v>0</v>
      </c>
      <c r="BD61" s="18">
        <f t="shared" si="88"/>
        <v>0</v>
      </c>
      <c r="BE61" s="18">
        <f t="shared" si="88"/>
        <v>0</v>
      </c>
      <c r="BF61" s="18">
        <f t="shared" si="88"/>
        <v>0</v>
      </c>
      <c r="BG61" s="18">
        <f t="shared" si="88"/>
        <v>0</v>
      </c>
      <c r="BH61" s="18">
        <f t="shared" si="88"/>
        <v>0</v>
      </c>
      <c r="BI61" s="18">
        <f t="shared" si="88"/>
        <v>0</v>
      </c>
      <c r="BJ61" s="18">
        <f t="shared" si="88"/>
        <v>0</v>
      </c>
      <c r="BK61" s="18">
        <f t="shared" si="88"/>
        <v>0</v>
      </c>
      <c r="BL61" s="18">
        <f t="shared" si="88"/>
        <v>0</v>
      </c>
      <c r="BM61" s="18">
        <f t="shared" si="88"/>
        <v>0</v>
      </c>
      <c r="BN61" s="18">
        <f t="shared" si="88"/>
        <v>4694818</v>
      </c>
      <c r="BO61" s="18">
        <f t="shared" si="88"/>
        <v>0</v>
      </c>
      <c r="BP61" s="18">
        <f t="shared" si="88"/>
        <v>0</v>
      </c>
      <c r="BQ61" s="18">
        <f t="shared" si="88"/>
        <v>0</v>
      </c>
      <c r="BR61" s="18">
        <f t="shared" si="88"/>
        <v>0</v>
      </c>
      <c r="BS61" s="18">
        <f t="shared" si="88"/>
        <v>0</v>
      </c>
      <c r="BT61" s="18">
        <f t="shared" si="88"/>
        <v>0</v>
      </c>
      <c r="BU61" s="18">
        <f t="shared" si="88"/>
        <v>0</v>
      </c>
      <c r="BV61" s="18">
        <f t="shared" si="88"/>
        <v>0</v>
      </c>
      <c r="BW61" s="18">
        <f t="shared" si="88"/>
        <v>0</v>
      </c>
      <c r="BX61" s="18">
        <f t="shared" si="88"/>
        <v>4000000</v>
      </c>
      <c r="BY61" s="18">
        <f t="shared" si="88"/>
        <v>694818</v>
      </c>
      <c r="BZ61" s="18">
        <f t="shared" si="88"/>
        <v>2639840</v>
      </c>
      <c r="CA61" s="18">
        <f t="shared" si="88"/>
        <v>2639840</v>
      </c>
      <c r="CB61" s="18">
        <f t="shared" si="88"/>
        <v>1564679</v>
      </c>
      <c r="CC61" s="18">
        <f t="shared" si="88"/>
        <v>0</v>
      </c>
      <c r="CD61" s="18">
        <f t="shared" si="88"/>
        <v>1564679</v>
      </c>
      <c r="CE61" s="18">
        <f t="shared" si="88"/>
        <v>0</v>
      </c>
      <c r="CF61" s="18">
        <f t="shared" si="88"/>
        <v>0</v>
      </c>
      <c r="CG61" s="18">
        <f t="shared" si="88"/>
        <v>0</v>
      </c>
      <c r="CH61" s="18">
        <f t="shared" si="88"/>
        <v>0</v>
      </c>
      <c r="CI61" s="18">
        <f t="shared" si="88"/>
        <v>0</v>
      </c>
      <c r="CJ61" s="18">
        <f t="shared" si="88"/>
        <v>0</v>
      </c>
      <c r="CK61" s="18">
        <f t="shared" si="88"/>
        <v>1075161</v>
      </c>
      <c r="CL61" s="18">
        <f t="shared" si="88"/>
        <v>0</v>
      </c>
      <c r="CM61" s="18">
        <f t="shared" si="88"/>
        <v>1075161</v>
      </c>
      <c r="CN61" s="18"/>
      <c r="CO61" s="18">
        <f t="shared" si="88"/>
        <v>0</v>
      </c>
      <c r="CP61" s="74"/>
      <c r="CQ61" s="74"/>
      <c r="CR61" s="74"/>
      <c r="CS61" s="18">
        <f t="shared" si="88"/>
        <v>0</v>
      </c>
      <c r="CT61" s="18">
        <f t="shared" si="88"/>
        <v>0</v>
      </c>
      <c r="CU61" s="18">
        <f t="shared" si="88"/>
        <v>0</v>
      </c>
      <c r="CV61" s="46">
        <f t="shared" si="88"/>
        <v>0</v>
      </c>
      <c r="CW61" s="57"/>
    </row>
    <row r="62" spans="1:101" ht="15.6" x14ac:dyDescent="0.3">
      <c r="A62" s="105" t="s">
        <v>1</v>
      </c>
      <c r="B62" s="21" t="s">
        <v>118</v>
      </c>
      <c r="C62" s="22" t="s">
        <v>121</v>
      </c>
      <c r="D62" s="18">
        <f>SUM(E62+BZ62+CS62)</f>
        <v>47065024</v>
      </c>
      <c r="E62" s="19">
        <f>SUM(F62+BA62)</f>
        <v>44425184</v>
      </c>
      <c r="F62" s="19">
        <f>SUM(G62+H62+I62+P62+S62+T62+U62+AE62+AD62)</f>
        <v>39730366</v>
      </c>
      <c r="G62" s="23">
        <v>30171639</v>
      </c>
      <c r="H62" s="23">
        <v>254092</v>
      </c>
      <c r="I62" s="19">
        <f t="shared" si="7"/>
        <v>6739181</v>
      </c>
      <c r="J62" s="23">
        <v>43530</v>
      </c>
      <c r="K62" s="23">
        <v>1029067</v>
      </c>
      <c r="L62" s="23">
        <v>1276014</v>
      </c>
      <c r="M62" s="23">
        <v>0</v>
      </c>
      <c r="N62" s="23">
        <v>3624592</v>
      </c>
      <c r="O62" s="23">
        <v>765978</v>
      </c>
      <c r="P62" s="19">
        <f t="shared" si="8"/>
        <v>145817</v>
      </c>
      <c r="Q62" s="23">
        <v>54776</v>
      </c>
      <c r="R62" s="23">
        <v>91041</v>
      </c>
      <c r="S62" s="23">
        <v>0</v>
      </c>
      <c r="T62" s="23">
        <v>63455</v>
      </c>
      <c r="U62" s="19">
        <f>SUM(V62:AC62)</f>
        <v>10500</v>
      </c>
      <c r="V62" s="23">
        <v>10500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f>SUM(AF62:AZ62)</f>
        <v>2345682</v>
      </c>
      <c r="AF62" s="19">
        <v>0</v>
      </c>
      <c r="AG62" s="19">
        <v>0</v>
      </c>
      <c r="AH62" s="23">
        <v>6000</v>
      </c>
      <c r="AI62" s="23">
        <v>300000</v>
      </c>
      <c r="AJ62" s="23">
        <v>0</v>
      </c>
      <c r="AK62" s="23">
        <v>0</v>
      </c>
      <c r="AL62" s="23">
        <v>0</v>
      </c>
      <c r="AM62" s="23">
        <v>0</v>
      </c>
      <c r="AN62" s="23">
        <v>10000</v>
      </c>
      <c r="AO62" s="23">
        <v>29682</v>
      </c>
      <c r="AP62" s="23">
        <v>0</v>
      </c>
      <c r="AQ62" s="23">
        <v>0</v>
      </c>
      <c r="AR62" s="23">
        <v>0</v>
      </c>
      <c r="AS62" s="23">
        <v>0</v>
      </c>
      <c r="AT62" s="23">
        <v>0</v>
      </c>
      <c r="AU62" s="23">
        <v>0</v>
      </c>
      <c r="AV62" s="23">
        <v>0</v>
      </c>
      <c r="AW62" s="23">
        <v>2000000</v>
      </c>
      <c r="AX62" s="23">
        <v>0</v>
      </c>
      <c r="AY62" s="23">
        <v>0</v>
      </c>
      <c r="AZ62" s="23">
        <v>0</v>
      </c>
      <c r="BA62" s="19">
        <f>SUM(BB62+BF62+BI62+BK62+BN62)</f>
        <v>4694818</v>
      </c>
      <c r="BB62" s="19">
        <f>SUM(BC62:BE62)</f>
        <v>0</v>
      </c>
      <c r="BC62" s="19">
        <v>0</v>
      </c>
      <c r="BD62" s="19">
        <v>0</v>
      </c>
      <c r="BE62" s="19">
        <v>0</v>
      </c>
      <c r="BF62" s="19">
        <f>SUM(BH62:BH62)</f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f t="shared" si="9"/>
        <v>0</v>
      </c>
      <c r="BL62" s="19">
        <v>0</v>
      </c>
      <c r="BM62" s="19">
        <v>0</v>
      </c>
      <c r="BN62" s="19">
        <f>SUM(BO62:BY62)</f>
        <v>4694818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23">
        <v>4000000</v>
      </c>
      <c r="BY62" s="23">
        <v>694818</v>
      </c>
      <c r="BZ62" s="19">
        <f>SUM(CA62+CO62)</f>
        <v>2639840</v>
      </c>
      <c r="CA62" s="19">
        <f>SUM(CB62+CE62+CK62)</f>
        <v>2639840</v>
      </c>
      <c r="CB62" s="19">
        <f t="shared" si="10"/>
        <v>1564679</v>
      </c>
      <c r="CC62" s="19">
        <v>0</v>
      </c>
      <c r="CD62" s="23">
        <v>1564679</v>
      </c>
      <c r="CE62" s="19">
        <f>SUM(CF62:CJ62)</f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>
        <f>SUM(CL62:CN62)</f>
        <v>1075161</v>
      </c>
      <c r="CL62" s="19">
        <v>0</v>
      </c>
      <c r="CM62" s="23">
        <v>1075161</v>
      </c>
      <c r="CN62" s="19"/>
      <c r="CO62" s="19">
        <v>0</v>
      </c>
      <c r="CP62" s="75"/>
      <c r="CQ62" s="75"/>
      <c r="CR62" s="75"/>
      <c r="CS62" s="19">
        <f t="shared" si="11"/>
        <v>0</v>
      </c>
      <c r="CT62" s="19">
        <f t="shared" si="12"/>
        <v>0</v>
      </c>
      <c r="CU62" s="19">
        <v>0</v>
      </c>
      <c r="CV62" s="20">
        <v>0</v>
      </c>
      <c r="CW62" s="52"/>
    </row>
    <row r="63" spans="1:101" s="58" customFormat="1" ht="46.8" x14ac:dyDescent="0.3">
      <c r="A63" s="106" t="s">
        <v>122</v>
      </c>
      <c r="B63" s="25" t="s">
        <v>1</v>
      </c>
      <c r="C63" s="26" t="s">
        <v>123</v>
      </c>
      <c r="D63" s="27">
        <f>SUM(D64+D66+D69+D71+D73+D75+D79+D77)</f>
        <v>733001954</v>
      </c>
      <c r="E63" s="27">
        <f t="shared" ref="E63:BO63" si="89">SUM(E64+E66+E69+E71+E73+E75+E79+E77)</f>
        <v>718624697</v>
      </c>
      <c r="F63" s="27">
        <f t="shared" si="89"/>
        <v>715808528</v>
      </c>
      <c r="G63" s="27">
        <f t="shared" si="89"/>
        <v>507660003</v>
      </c>
      <c r="H63" s="27">
        <f t="shared" si="89"/>
        <v>21417964</v>
      </c>
      <c r="I63" s="27">
        <f t="shared" si="89"/>
        <v>94264445</v>
      </c>
      <c r="J63" s="27">
        <f t="shared" si="89"/>
        <v>1146077</v>
      </c>
      <c r="K63" s="27">
        <f t="shared" si="89"/>
        <v>22596028</v>
      </c>
      <c r="L63" s="27">
        <f t="shared" si="89"/>
        <v>27244783</v>
      </c>
      <c r="M63" s="27">
        <f t="shared" si="89"/>
        <v>316905</v>
      </c>
      <c r="N63" s="27">
        <f t="shared" si="89"/>
        <v>34455711</v>
      </c>
      <c r="O63" s="27">
        <f t="shared" si="89"/>
        <v>8504941</v>
      </c>
      <c r="P63" s="27">
        <f t="shared" si="89"/>
        <v>6679575</v>
      </c>
      <c r="Q63" s="27">
        <f t="shared" si="89"/>
        <v>114485</v>
      </c>
      <c r="R63" s="27">
        <f t="shared" si="89"/>
        <v>6565090</v>
      </c>
      <c r="S63" s="27">
        <f t="shared" si="89"/>
        <v>65528</v>
      </c>
      <c r="T63" s="27">
        <f t="shared" si="89"/>
        <v>5595433</v>
      </c>
      <c r="U63" s="27">
        <f t="shared" si="89"/>
        <v>19365084</v>
      </c>
      <c r="V63" s="27">
        <f t="shared" si="89"/>
        <v>1389153</v>
      </c>
      <c r="W63" s="27">
        <f t="shared" si="89"/>
        <v>3772928</v>
      </c>
      <c r="X63" s="27">
        <f t="shared" si="89"/>
        <v>8719125</v>
      </c>
      <c r="Y63" s="27">
        <f t="shared" si="89"/>
        <v>4282800</v>
      </c>
      <c r="Z63" s="27">
        <f t="shared" si="89"/>
        <v>442104</v>
      </c>
      <c r="AA63" s="27">
        <f t="shared" si="89"/>
        <v>55384</v>
      </c>
      <c r="AB63" s="27">
        <f t="shared" si="89"/>
        <v>0</v>
      </c>
      <c r="AC63" s="27">
        <f t="shared" si="89"/>
        <v>703590</v>
      </c>
      <c r="AD63" s="27">
        <f t="shared" si="89"/>
        <v>0</v>
      </c>
      <c r="AE63" s="27">
        <f t="shared" si="89"/>
        <v>60760496</v>
      </c>
      <c r="AF63" s="27">
        <f t="shared" si="89"/>
        <v>0</v>
      </c>
      <c r="AG63" s="27">
        <f t="shared" si="89"/>
        <v>0</v>
      </c>
      <c r="AH63" s="27">
        <f t="shared" si="89"/>
        <v>228008</v>
      </c>
      <c r="AI63" s="27">
        <f t="shared" si="89"/>
        <v>1360574</v>
      </c>
      <c r="AJ63" s="27">
        <f t="shared" si="89"/>
        <v>0</v>
      </c>
      <c r="AK63" s="27">
        <f t="shared" si="89"/>
        <v>9128</v>
      </c>
      <c r="AL63" s="27">
        <f t="shared" si="89"/>
        <v>43962</v>
      </c>
      <c r="AM63" s="27">
        <f t="shared" si="89"/>
        <v>31816</v>
      </c>
      <c r="AN63" s="27">
        <f t="shared" si="89"/>
        <v>1251878</v>
      </c>
      <c r="AO63" s="27">
        <f t="shared" si="89"/>
        <v>163455</v>
      </c>
      <c r="AP63" s="27">
        <f t="shared" si="89"/>
        <v>6978</v>
      </c>
      <c r="AQ63" s="27">
        <f t="shared" si="89"/>
        <v>3354277</v>
      </c>
      <c r="AR63" s="27">
        <f t="shared" si="89"/>
        <v>2831959</v>
      </c>
      <c r="AS63" s="27">
        <f t="shared" si="89"/>
        <v>384800</v>
      </c>
      <c r="AT63" s="27"/>
      <c r="AU63" s="27"/>
      <c r="AV63" s="27">
        <f t="shared" si="89"/>
        <v>0</v>
      </c>
      <c r="AW63" s="27">
        <f t="shared" si="89"/>
        <v>41401743</v>
      </c>
      <c r="AX63" s="27">
        <f t="shared" si="89"/>
        <v>699008</v>
      </c>
      <c r="AY63" s="27">
        <f t="shared" si="89"/>
        <v>1057100</v>
      </c>
      <c r="AZ63" s="27">
        <f t="shared" si="89"/>
        <v>7935810</v>
      </c>
      <c r="BA63" s="27">
        <f t="shared" si="89"/>
        <v>2816169</v>
      </c>
      <c r="BB63" s="27">
        <f t="shared" si="89"/>
        <v>0</v>
      </c>
      <c r="BC63" s="27">
        <f t="shared" si="89"/>
        <v>0</v>
      </c>
      <c r="BD63" s="27">
        <f t="shared" si="89"/>
        <v>0</v>
      </c>
      <c r="BE63" s="27">
        <f t="shared" si="89"/>
        <v>0</v>
      </c>
      <c r="BF63" s="27">
        <f t="shared" si="89"/>
        <v>0</v>
      </c>
      <c r="BG63" s="27">
        <f t="shared" si="89"/>
        <v>0</v>
      </c>
      <c r="BH63" s="27">
        <f t="shared" si="89"/>
        <v>0</v>
      </c>
      <c r="BI63" s="27">
        <f t="shared" si="89"/>
        <v>0</v>
      </c>
      <c r="BJ63" s="27">
        <f t="shared" ref="BJ63" si="90">SUM(BJ64+BJ66+BJ69+BJ71+BJ73+BJ75+BJ79+BJ77)</f>
        <v>0</v>
      </c>
      <c r="BK63" s="27">
        <f t="shared" si="89"/>
        <v>845520</v>
      </c>
      <c r="BL63" s="27">
        <f t="shared" si="89"/>
        <v>845520</v>
      </c>
      <c r="BM63" s="27">
        <f t="shared" ref="BM63" si="91">SUM(BM64+BM66+BM69+BM71+BM73+BM75+BM79+BM77)</f>
        <v>0</v>
      </c>
      <c r="BN63" s="27">
        <f t="shared" si="89"/>
        <v>1970649</v>
      </c>
      <c r="BO63" s="27">
        <f t="shared" si="89"/>
        <v>0</v>
      </c>
      <c r="BP63" s="27">
        <f t="shared" ref="BP63:CV63" si="92">SUM(BP64+BP66+BP69+BP71+BP73+BP75+BP79+BP77)</f>
        <v>0</v>
      </c>
      <c r="BQ63" s="27">
        <f t="shared" si="92"/>
        <v>13671</v>
      </c>
      <c r="BR63" s="27">
        <f t="shared" si="92"/>
        <v>0</v>
      </c>
      <c r="BS63" s="27">
        <f t="shared" si="92"/>
        <v>0</v>
      </c>
      <c r="BT63" s="27">
        <f t="shared" si="92"/>
        <v>0</v>
      </c>
      <c r="BU63" s="27">
        <f t="shared" si="92"/>
        <v>0</v>
      </c>
      <c r="BV63" s="27">
        <f t="shared" si="92"/>
        <v>0</v>
      </c>
      <c r="BW63" s="27">
        <f t="shared" si="92"/>
        <v>0</v>
      </c>
      <c r="BX63" s="27">
        <f t="shared" si="92"/>
        <v>1478243</v>
      </c>
      <c r="BY63" s="27">
        <f t="shared" si="92"/>
        <v>478735</v>
      </c>
      <c r="BZ63" s="27">
        <f t="shared" si="92"/>
        <v>14377257</v>
      </c>
      <c r="CA63" s="27">
        <f t="shared" si="92"/>
        <v>7577257</v>
      </c>
      <c r="CB63" s="27">
        <f t="shared" si="92"/>
        <v>7577257</v>
      </c>
      <c r="CC63" s="27">
        <f t="shared" si="92"/>
        <v>0</v>
      </c>
      <c r="CD63" s="27">
        <f t="shared" si="92"/>
        <v>7577257</v>
      </c>
      <c r="CE63" s="27">
        <f t="shared" si="92"/>
        <v>0</v>
      </c>
      <c r="CF63" s="27">
        <f t="shared" si="92"/>
        <v>0</v>
      </c>
      <c r="CG63" s="27">
        <f t="shared" ref="CG63:CH63" si="93">SUM(CG64+CG66+CG69+CG71+CG73+CG75+CG79+CG77)</f>
        <v>0</v>
      </c>
      <c r="CH63" s="27">
        <f t="shared" si="93"/>
        <v>0</v>
      </c>
      <c r="CI63" s="27">
        <f t="shared" si="92"/>
        <v>0</v>
      </c>
      <c r="CJ63" s="27">
        <f t="shared" ref="CJ63" si="94">SUM(CJ64+CJ66+CJ69+CJ71+CJ73+CJ75+CJ79+CJ77)</f>
        <v>0</v>
      </c>
      <c r="CK63" s="27">
        <f t="shared" si="92"/>
        <v>0</v>
      </c>
      <c r="CL63" s="27">
        <f t="shared" ref="CL63" si="95">SUM(CL64+CL66+CL69+CL71+CL73+CL75+CL79+CL77)</f>
        <v>0</v>
      </c>
      <c r="CM63" s="27">
        <f t="shared" si="92"/>
        <v>0</v>
      </c>
      <c r="CN63" s="27"/>
      <c r="CO63" s="27">
        <f t="shared" si="92"/>
        <v>6800000</v>
      </c>
      <c r="CP63" s="27">
        <f t="shared" si="92"/>
        <v>0</v>
      </c>
      <c r="CQ63" s="27">
        <f t="shared" si="92"/>
        <v>0</v>
      </c>
      <c r="CR63" s="27">
        <f t="shared" si="92"/>
        <v>0</v>
      </c>
      <c r="CS63" s="27">
        <f t="shared" si="92"/>
        <v>0</v>
      </c>
      <c r="CT63" s="27">
        <f t="shared" si="92"/>
        <v>0</v>
      </c>
      <c r="CU63" s="27">
        <f t="shared" si="92"/>
        <v>0</v>
      </c>
      <c r="CV63" s="60">
        <f t="shared" si="92"/>
        <v>0</v>
      </c>
      <c r="CW63" s="57"/>
    </row>
    <row r="64" spans="1:101" s="58" customFormat="1" ht="15.6" x14ac:dyDescent="0.3">
      <c r="A64" s="104" t="s">
        <v>124</v>
      </c>
      <c r="B64" s="16" t="s">
        <v>1</v>
      </c>
      <c r="C64" s="17" t="s">
        <v>125</v>
      </c>
      <c r="D64" s="18">
        <f t="shared" ref="D64:BQ64" si="96">SUM(D65)</f>
        <v>322480246</v>
      </c>
      <c r="E64" s="18">
        <f t="shared" si="96"/>
        <v>310783999</v>
      </c>
      <c r="F64" s="18">
        <f t="shared" si="96"/>
        <v>310078592</v>
      </c>
      <c r="G64" s="18">
        <f t="shared" si="96"/>
        <v>221644915</v>
      </c>
      <c r="H64" s="18">
        <f t="shared" si="96"/>
        <v>13107444</v>
      </c>
      <c r="I64" s="18">
        <f t="shared" si="96"/>
        <v>41170285</v>
      </c>
      <c r="J64" s="18">
        <f t="shared" si="96"/>
        <v>346230</v>
      </c>
      <c r="K64" s="18">
        <f t="shared" si="96"/>
        <v>10421057</v>
      </c>
      <c r="L64" s="18">
        <f t="shared" si="96"/>
        <v>6419351</v>
      </c>
      <c r="M64" s="18">
        <f t="shared" si="96"/>
        <v>0</v>
      </c>
      <c r="N64" s="18">
        <f t="shared" si="96"/>
        <v>20022012</v>
      </c>
      <c r="O64" s="18">
        <f t="shared" si="96"/>
        <v>3961635</v>
      </c>
      <c r="P64" s="18">
        <f t="shared" si="96"/>
        <v>34260</v>
      </c>
      <c r="Q64" s="18">
        <f t="shared" si="96"/>
        <v>34260</v>
      </c>
      <c r="R64" s="18">
        <f t="shared" si="96"/>
        <v>0</v>
      </c>
      <c r="S64" s="18">
        <f t="shared" si="96"/>
        <v>45528</v>
      </c>
      <c r="T64" s="18">
        <f t="shared" si="96"/>
        <v>3704836</v>
      </c>
      <c r="U64" s="18">
        <f t="shared" si="96"/>
        <v>6716765</v>
      </c>
      <c r="V64" s="18">
        <f t="shared" si="96"/>
        <v>144547</v>
      </c>
      <c r="W64" s="18">
        <f t="shared" si="96"/>
        <v>2726203</v>
      </c>
      <c r="X64" s="18">
        <f t="shared" si="96"/>
        <v>2604199</v>
      </c>
      <c r="Y64" s="18">
        <f t="shared" si="96"/>
        <v>975227</v>
      </c>
      <c r="Z64" s="18">
        <f t="shared" si="96"/>
        <v>98006</v>
      </c>
      <c r="AA64" s="18">
        <f t="shared" si="96"/>
        <v>37350</v>
      </c>
      <c r="AB64" s="18">
        <f t="shared" si="96"/>
        <v>0</v>
      </c>
      <c r="AC64" s="18">
        <f t="shared" si="96"/>
        <v>131233</v>
      </c>
      <c r="AD64" s="18">
        <f t="shared" si="96"/>
        <v>0</v>
      </c>
      <c r="AE64" s="18">
        <f t="shared" si="96"/>
        <v>23654559</v>
      </c>
      <c r="AF64" s="18">
        <f t="shared" si="96"/>
        <v>0</v>
      </c>
      <c r="AG64" s="18">
        <f t="shared" si="96"/>
        <v>0</v>
      </c>
      <c r="AH64" s="18">
        <f t="shared" si="96"/>
        <v>82025</v>
      </c>
      <c r="AI64" s="18">
        <f t="shared" si="96"/>
        <v>178998</v>
      </c>
      <c r="AJ64" s="18">
        <f t="shared" si="96"/>
        <v>0</v>
      </c>
      <c r="AK64" s="18">
        <f t="shared" si="96"/>
        <v>0</v>
      </c>
      <c r="AL64" s="18">
        <f t="shared" si="96"/>
        <v>4875</v>
      </c>
      <c r="AM64" s="18">
        <f t="shared" si="96"/>
        <v>18023</v>
      </c>
      <c r="AN64" s="18">
        <f t="shared" si="96"/>
        <v>975000</v>
      </c>
      <c r="AO64" s="18">
        <f t="shared" si="96"/>
        <v>18042</v>
      </c>
      <c r="AP64" s="18">
        <f t="shared" si="96"/>
        <v>5175</v>
      </c>
      <c r="AQ64" s="18">
        <f t="shared" si="96"/>
        <v>3191373</v>
      </c>
      <c r="AR64" s="18">
        <f t="shared" si="96"/>
        <v>1941053</v>
      </c>
      <c r="AS64" s="18">
        <f t="shared" si="96"/>
        <v>72000</v>
      </c>
      <c r="AT64" s="18"/>
      <c r="AU64" s="18"/>
      <c r="AV64" s="18">
        <f t="shared" si="96"/>
        <v>0</v>
      </c>
      <c r="AW64" s="18">
        <f t="shared" si="96"/>
        <v>10263348</v>
      </c>
      <c r="AX64" s="18">
        <f t="shared" si="96"/>
        <v>199008</v>
      </c>
      <c r="AY64" s="18">
        <f t="shared" si="96"/>
        <v>0</v>
      </c>
      <c r="AZ64" s="18">
        <f t="shared" si="96"/>
        <v>6705639</v>
      </c>
      <c r="BA64" s="18">
        <f t="shared" si="96"/>
        <v>705407</v>
      </c>
      <c r="BB64" s="18">
        <f t="shared" si="96"/>
        <v>0</v>
      </c>
      <c r="BC64" s="18">
        <f t="shared" si="96"/>
        <v>0</v>
      </c>
      <c r="BD64" s="18">
        <f t="shared" si="96"/>
        <v>0</v>
      </c>
      <c r="BE64" s="18">
        <f t="shared" si="96"/>
        <v>0</v>
      </c>
      <c r="BF64" s="18">
        <f t="shared" si="96"/>
        <v>0</v>
      </c>
      <c r="BG64" s="18">
        <f t="shared" si="96"/>
        <v>0</v>
      </c>
      <c r="BH64" s="18">
        <f t="shared" si="96"/>
        <v>0</v>
      </c>
      <c r="BI64" s="18">
        <f t="shared" si="96"/>
        <v>0</v>
      </c>
      <c r="BJ64" s="18">
        <f t="shared" si="96"/>
        <v>0</v>
      </c>
      <c r="BK64" s="18">
        <f t="shared" si="96"/>
        <v>304566</v>
      </c>
      <c r="BL64" s="18">
        <f t="shared" si="96"/>
        <v>304566</v>
      </c>
      <c r="BM64" s="18">
        <f t="shared" si="96"/>
        <v>0</v>
      </c>
      <c r="BN64" s="18">
        <f t="shared" si="96"/>
        <v>400841</v>
      </c>
      <c r="BO64" s="18">
        <f t="shared" si="96"/>
        <v>0</v>
      </c>
      <c r="BP64" s="18">
        <f t="shared" si="96"/>
        <v>0</v>
      </c>
      <c r="BQ64" s="18">
        <f t="shared" si="96"/>
        <v>13671</v>
      </c>
      <c r="BR64" s="18">
        <f t="shared" ref="BR64:CV64" si="97">SUM(BR65)</f>
        <v>0</v>
      </c>
      <c r="BS64" s="18">
        <f t="shared" si="97"/>
        <v>0</v>
      </c>
      <c r="BT64" s="18">
        <f t="shared" si="97"/>
        <v>0</v>
      </c>
      <c r="BU64" s="18">
        <f t="shared" si="97"/>
        <v>0</v>
      </c>
      <c r="BV64" s="18">
        <f t="shared" si="97"/>
        <v>0</v>
      </c>
      <c r="BW64" s="18">
        <f t="shared" si="97"/>
        <v>0</v>
      </c>
      <c r="BX64" s="18">
        <f t="shared" si="97"/>
        <v>362966</v>
      </c>
      <c r="BY64" s="18">
        <f t="shared" si="97"/>
        <v>24204</v>
      </c>
      <c r="BZ64" s="18">
        <f t="shared" si="97"/>
        <v>11696247</v>
      </c>
      <c r="CA64" s="18">
        <f t="shared" si="97"/>
        <v>4896247</v>
      </c>
      <c r="CB64" s="18">
        <f t="shared" si="97"/>
        <v>4896247</v>
      </c>
      <c r="CC64" s="18">
        <f t="shared" si="97"/>
        <v>0</v>
      </c>
      <c r="CD64" s="18">
        <f t="shared" si="97"/>
        <v>4896247</v>
      </c>
      <c r="CE64" s="18">
        <f t="shared" si="97"/>
        <v>0</v>
      </c>
      <c r="CF64" s="18">
        <f t="shared" si="97"/>
        <v>0</v>
      </c>
      <c r="CG64" s="18">
        <f t="shared" si="97"/>
        <v>0</v>
      </c>
      <c r="CH64" s="18">
        <f t="shared" si="97"/>
        <v>0</v>
      </c>
      <c r="CI64" s="18">
        <f t="shared" si="97"/>
        <v>0</v>
      </c>
      <c r="CJ64" s="18">
        <f t="shared" si="97"/>
        <v>0</v>
      </c>
      <c r="CK64" s="18">
        <f t="shared" si="97"/>
        <v>0</v>
      </c>
      <c r="CL64" s="18">
        <f t="shared" si="97"/>
        <v>0</v>
      </c>
      <c r="CM64" s="18">
        <f t="shared" si="97"/>
        <v>0</v>
      </c>
      <c r="CN64" s="18"/>
      <c r="CO64" s="18">
        <f t="shared" si="97"/>
        <v>6800000</v>
      </c>
      <c r="CP64" s="74"/>
      <c r="CQ64" s="74"/>
      <c r="CR64" s="74"/>
      <c r="CS64" s="18">
        <f t="shared" si="97"/>
        <v>0</v>
      </c>
      <c r="CT64" s="18">
        <f t="shared" si="97"/>
        <v>0</v>
      </c>
      <c r="CU64" s="18">
        <f t="shared" si="97"/>
        <v>0</v>
      </c>
      <c r="CV64" s="46">
        <f t="shared" si="97"/>
        <v>0</v>
      </c>
      <c r="CW64" s="57"/>
    </row>
    <row r="65" spans="1:101" ht="15.6" x14ac:dyDescent="0.3">
      <c r="A65" s="105" t="s">
        <v>1</v>
      </c>
      <c r="B65" s="21" t="s">
        <v>126</v>
      </c>
      <c r="C65" s="22" t="s">
        <v>127</v>
      </c>
      <c r="D65" s="19">
        <f>SUM(E65+BZ65+CS65)</f>
        <v>322480246</v>
      </c>
      <c r="E65" s="19">
        <f>SUM(F65+BA65)</f>
        <v>310783999</v>
      </c>
      <c r="F65" s="19">
        <f>SUM(G65+H65+I65+P65+S65+T65+U65+AE65+AD65)</f>
        <v>310078592</v>
      </c>
      <c r="G65" s="23">
        <v>221644915</v>
      </c>
      <c r="H65" s="23">
        <v>13107444</v>
      </c>
      <c r="I65" s="19">
        <f t="shared" si="7"/>
        <v>41170285</v>
      </c>
      <c r="J65" s="23">
        <v>346230</v>
      </c>
      <c r="K65" s="23">
        <v>10421057</v>
      </c>
      <c r="L65" s="23">
        <v>6419351</v>
      </c>
      <c r="M65" s="23">
        <v>0</v>
      </c>
      <c r="N65" s="23">
        <v>20022012</v>
      </c>
      <c r="O65" s="23">
        <v>3961635</v>
      </c>
      <c r="P65" s="19">
        <f t="shared" si="8"/>
        <v>34260</v>
      </c>
      <c r="Q65" s="23">
        <v>34260</v>
      </c>
      <c r="R65" s="23">
        <v>0</v>
      </c>
      <c r="S65" s="23">
        <v>45528</v>
      </c>
      <c r="T65" s="23">
        <v>3704836</v>
      </c>
      <c r="U65" s="19">
        <f>SUM(V65:AC65)</f>
        <v>6716765</v>
      </c>
      <c r="V65" s="23">
        <v>144547</v>
      </c>
      <c r="W65" s="23">
        <v>2726203</v>
      </c>
      <c r="X65" s="23">
        <v>2604199</v>
      </c>
      <c r="Y65" s="23">
        <v>975227</v>
      </c>
      <c r="Z65" s="23">
        <v>98006</v>
      </c>
      <c r="AA65" s="23">
        <v>37350</v>
      </c>
      <c r="AB65" s="23">
        <v>0</v>
      </c>
      <c r="AC65" s="23">
        <v>131233</v>
      </c>
      <c r="AD65" s="19">
        <v>0</v>
      </c>
      <c r="AE65" s="19">
        <f>SUM(AF65:AZ65)</f>
        <v>23654559</v>
      </c>
      <c r="AF65" s="19">
        <v>0</v>
      </c>
      <c r="AG65" s="19">
        <v>0</v>
      </c>
      <c r="AH65" s="23">
        <v>82025</v>
      </c>
      <c r="AI65" s="23">
        <v>178998</v>
      </c>
      <c r="AJ65" s="23">
        <v>0</v>
      </c>
      <c r="AK65" s="23">
        <v>0</v>
      </c>
      <c r="AL65" s="23">
        <v>4875</v>
      </c>
      <c r="AM65" s="23">
        <v>18023</v>
      </c>
      <c r="AN65" s="23">
        <v>975000</v>
      </c>
      <c r="AO65" s="23">
        <v>18042</v>
      </c>
      <c r="AP65" s="23">
        <v>5175</v>
      </c>
      <c r="AQ65" s="23">
        <v>3191373</v>
      </c>
      <c r="AR65" s="23">
        <v>1941053</v>
      </c>
      <c r="AS65" s="23">
        <v>72000</v>
      </c>
      <c r="AT65" s="23">
        <v>0</v>
      </c>
      <c r="AU65" s="23">
        <v>0</v>
      </c>
      <c r="AV65" s="23">
        <v>0</v>
      </c>
      <c r="AW65" s="23">
        <v>10263348</v>
      </c>
      <c r="AX65" s="23">
        <v>199008</v>
      </c>
      <c r="AY65" s="23">
        <v>0</v>
      </c>
      <c r="AZ65" s="23">
        <v>6705639</v>
      </c>
      <c r="BA65" s="19">
        <f>SUM(BB65+BF65+BI65+BK65+BN65)</f>
        <v>705407</v>
      </c>
      <c r="BB65" s="19">
        <f>SUM(BC65:BE65)</f>
        <v>0</v>
      </c>
      <c r="BC65" s="19">
        <v>0</v>
      </c>
      <c r="BD65" s="19">
        <v>0</v>
      </c>
      <c r="BE65" s="19">
        <v>0</v>
      </c>
      <c r="BF65" s="19">
        <f>SUM(BH65:BH65)</f>
        <v>0</v>
      </c>
      <c r="BG65" s="19">
        <v>0</v>
      </c>
      <c r="BH65" s="19">
        <v>0</v>
      </c>
      <c r="BI65" s="19">
        <v>0</v>
      </c>
      <c r="BJ65" s="19"/>
      <c r="BK65" s="19">
        <f t="shared" si="9"/>
        <v>304566</v>
      </c>
      <c r="BL65" s="19">
        <v>304566</v>
      </c>
      <c r="BM65" s="19"/>
      <c r="BN65" s="19">
        <f>SUM(BO65:BY65)</f>
        <v>400841</v>
      </c>
      <c r="BO65" s="19">
        <v>0</v>
      </c>
      <c r="BP65" s="19">
        <v>0</v>
      </c>
      <c r="BQ65" s="23">
        <v>13671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23">
        <v>362966</v>
      </c>
      <c r="BY65" s="23">
        <v>24204</v>
      </c>
      <c r="BZ65" s="19">
        <f>SUM(CA65+CO65)</f>
        <v>11696247</v>
      </c>
      <c r="CA65" s="19">
        <f>SUM(CB65+CE65+CK65)</f>
        <v>4896247</v>
      </c>
      <c r="CB65" s="19">
        <f t="shared" si="10"/>
        <v>4896247</v>
      </c>
      <c r="CC65" s="19">
        <v>0</v>
      </c>
      <c r="CD65" s="23">
        <v>4896247</v>
      </c>
      <c r="CE65" s="19">
        <f>SUM(CF65:CJ65)</f>
        <v>0</v>
      </c>
      <c r="CF65" s="19">
        <v>0</v>
      </c>
      <c r="CG65" s="19">
        <v>0</v>
      </c>
      <c r="CH65" s="23"/>
      <c r="CI65" s="23"/>
      <c r="CJ65" s="23"/>
      <c r="CK65" s="19">
        <f>SUM(CL65:CN65)</f>
        <v>0</v>
      </c>
      <c r="CL65" s="23"/>
      <c r="CM65" s="51"/>
      <c r="CN65" s="19"/>
      <c r="CO65" s="19">
        <v>6800000</v>
      </c>
      <c r="CP65" s="75"/>
      <c r="CQ65" s="75"/>
      <c r="CR65" s="75"/>
      <c r="CS65" s="19">
        <f t="shared" si="11"/>
        <v>0</v>
      </c>
      <c r="CT65" s="19">
        <f t="shared" si="12"/>
        <v>0</v>
      </c>
      <c r="CU65" s="19">
        <v>0</v>
      </c>
      <c r="CV65" s="20">
        <v>0</v>
      </c>
      <c r="CW65" s="52"/>
    </row>
    <row r="66" spans="1:101" s="58" customFormat="1" ht="31.2" x14ac:dyDescent="0.3">
      <c r="A66" s="104" t="s">
        <v>128</v>
      </c>
      <c r="B66" s="16" t="s">
        <v>1</v>
      </c>
      <c r="C66" s="17" t="s">
        <v>327</v>
      </c>
      <c r="D66" s="18">
        <f>SUM(D67:D68)</f>
        <v>115568671</v>
      </c>
      <c r="E66" s="18">
        <f t="shared" ref="E66:BT66" si="98">SUM(E67:E68)</f>
        <v>115196671</v>
      </c>
      <c r="F66" s="18">
        <f t="shared" si="98"/>
        <v>115048261</v>
      </c>
      <c r="G66" s="18">
        <f t="shared" si="98"/>
        <v>68224189</v>
      </c>
      <c r="H66" s="18">
        <f t="shared" si="98"/>
        <v>2732236</v>
      </c>
      <c r="I66" s="18">
        <f t="shared" si="98"/>
        <v>29680063</v>
      </c>
      <c r="J66" s="18">
        <f t="shared" si="98"/>
        <v>416844</v>
      </c>
      <c r="K66" s="18">
        <f t="shared" si="98"/>
        <v>5950685</v>
      </c>
      <c r="L66" s="18">
        <f t="shared" si="98"/>
        <v>19558235</v>
      </c>
      <c r="M66" s="18">
        <f t="shared" si="98"/>
        <v>0</v>
      </c>
      <c r="N66" s="18">
        <f t="shared" si="98"/>
        <v>2134022</v>
      </c>
      <c r="O66" s="18">
        <f t="shared" si="98"/>
        <v>1620277</v>
      </c>
      <c r="P66" s="18">
        <f t="shared" si="98"/>
        <v>0</v>
      </c>
      <c r="Q66" s="18">
        <f t="shared" si="98"/>
        <v>0</v>
      </c>
      <c r="R66" s="18">
        <f t="shared" si="98"/>
        <v>0</v>
      </c>
      <c r="S66" s="18">
        <f t="shared" si="98"/>
        <v>0</v>
      </c>
      <c r="T66" s="18">
        <f t="shared" si="98"/>
        <v>474822</v>
      </c>
      <c r="U66" s="18">
        <f t="shared" si="98"/>
        <v>8431178</v>
      </c>
      <c r="V66" s="18">
        <f t="shared" si="98"/>
        <v>719114</v>
      </c>
      <c r="W66" s="18">
        <f t="shared" si="98"/>
        <v>69872</v>
      </c>
      <c r="X66" s="18">
        <f t="shared" si="98"/>
        <v>3974899</v>
      </c>
      <c r="Y66" s="18">
        <f t="shared" si="98"/>
        <v>3037564</v>
      </c>
      <c r="Z66" s="18">
        <f t="shared" si="98"/>
        <v>178333</v>
      </c>
      <c r="AA66" s="18">
        <f t="shared" si="98"/>
        <v>0</v>
      </c>
      <c r="AB66" s="18">
        <f t="shared" si="98"/>
        <v>0</v>
      </c>
      <c r="AC66" s="18">
        <f t="shared" si="98"/>
        <v>451396</v>
      </c>
      <c r="AD66" s="18">
        <f t="shared" si="98"/>
        <v>0</v>
      </c>
      <c r="AE66" s="18">
        <f t="shared" si="98"/>
        <v>5505773</v>
      </c>
      <c r="AF66" s="18">
        <f t="shared" si="98"/>
        <v>0</v>
      </c>
      <c r="AG66" s="18">
        <f t="shared" si="98"/>
        <v>0</v>
      </c>
      <c r="AH66" s="18">
        <f t="shared" si="98"/>
        <v>6936</v>
      </c>
      <c r="AI66" s="18">
        <f t="shared" si="98"/>
        <v>500000</v>
      </c>
      <c r="AJ66" s="18">
        <f t="shared" si="98"/>
        <v>0</v>
      </c>
      <c r="AK66" s="18">
        <f t="shared" si="98"/>
        <v>0</v>
      </c>
      <c r="AL66" s="18">
        <f t="shared" si="98"/>
        <v>0</v>
      </c>
      <c r="AM66" s="18">
        <f t="shared" si="98"/>
        <v>0</v>
      </c>
      <c r="AN66" s="18">
        <f t="shared" si="98"/>
        <v>26000</v>
      </c>
      <c r="AO66" s="18">
        <f t="shared" si="98"/>
        <v>13386</v>
      </c>
      <c r="AP66" s="18">
        <f t="shared" si="98"/>
        <v>0</v>
      </c>
      <c r="AQ66" s="18">
        <f t="shared" si="98"/>
        <v>0</v>
      </c>
      <c r="AR66" s="18">
        <f t="shared" si="98"/>
        <v>214791</v>
      </c>
      <c r="AS66" s="18">
        <f t="shared" si="98"/>
        <v>160000</v>
      </c>
      <c r="AT66" s="18"/>
      <c r="AU66" s="18"/>
      <c r="AV66" s="18">
        <f t="shared" si="98"/>
        <v>0</v>
      </c>
      <c r="AW66" s="18">
        <f t="shared" si="98"/>
        <v>4459877</v>
      </c>
      <c r="AX66" s="18">
        <f t="shared" si="98"/>
        <v>40000</v>
      </c>
      <c r="AY66" s="18"/>
      <c r="AZ66" s="18">
        <f t="shared" si="98"/>
        <v>84783</v>
      </c>
      <c r="BA66" s="18">
        <f t="shared" si="98"/>
        <v>148410</v>
      </c>
      <c r="BB66" s="18">
        <f t="shared" si="98"/>
        <v>0</v>
      </c>
      <c r="BC66" s="18">
        <f t="shared" si="98"/>
        <v>0</v>
      </c>
      <c r="BD66" s="18">
        <f t="shared" si="98"/>
        <v>0</v>
      </c>
      <c r="BE66" s="18">
        <f t="shared" si="98"/>
        <v>0</v>
      </c>
      <c r="BF66" s="18">
        <f t="shared" si="98"/>
        <v>0</v>
      </c>
      <c r="BG66" s="18">
        <f t="shared" si="98"/>
        <v>0</v>
      </c>
      <c r="BH66" s="18">
        <f t="shared" si="98"/>
        <v>0</v>
      </c>
      <c r="BI66" s="18">
        <f t="shared" si="98"/>
        <v>0</v>
      </c>
      <c r="BJ66" s="18">
        <f t="shared" ref="BJ66" si="99">SUM(BJ67:BJ68)</f>
        <v>0</v>
      </c>
      <c r="BK66" s="18">
        <f t="shared" si="98"/>
        <v>148410</v>
      </c>
      <c r="BL66" s="18">
        <f t="shared" si="98"/>
        <v>148410</v>
      </c>
      <c r="BM66" s="18">
        <f t="shared" ref="BM66" si="100">SUM(BM67:BM68)</f>
        <v>0</v>
      </c>
      <c r="BN66" s="18">
        <f t="shared" si="98"/>
        <v>0</v>
      </c>
      <c r="BO66" s="18">
        <f t="shared" si="98"/>
        <v>0</v>
      </c>
      <c r="BP66" s="18">
        <f t="shared" si="98"/>
        <v>0</v>
      </c>
      <c r="BQ66" s="18">
        <f t="shared" si="98"/>
        <v>0</v>
      </c>
      <c r="BR66" s="18">
        <f t="shared" si="98"/>
        <v>0</v>
      </c>
      <c r="BS66" s="18">
        <f t="shared" si="98"/>
        <v>0</v>
      </c>
      <c r="BT66" s="18">
        <f t="shared" si="98"/>
        <v>0</v>
      </c>
      <c r="BU66" s="18">
        <f t="shared" ref="BU66:CV66" si="101">SUM(BU67:BU68)</f>
        <v>0</v>
      </c>
      <c r="BV66" s="18">
        <f t="shared" si="101"/>
        <v>0</v>
      </c>
      <c r="BW66" s="18">
        <f t="shared" si="101"/>
        <v>0</v>
      </c>
      <c r="BX66" s="18">
        <f t="shared" si="101"/>
        <v>0</v>
      </c>
      <c r="BY66" s="18">
        <f t="shared" si="101"/>
        <v>0</v>
      </c>
      <c r="BZ66" s="18">
        <f t="shared" si="101"/>
        <v>372000</v>
      </c>
      <c r="CA66" s="18">
        <f t="shared" si="101"/>
        <v>372000</v>
      </c>
      <c r="CB66" s="18">
        <f t="shared" si="101"/>
        <v>372000</v>
      </c>
      <c r="CC66" s="18">
        <f t="shared" si="101"/>
        <v>0</v>
      </c>
      <c r="CD66" s="18">
        <f t="shared" si="101"/>
        <v>372000</v>
      </c>
      <c r="CE66" s="18">
        <f t="shared" si="101"/>
        <v>0</v>
      </c>
      <c r="CF66" s="18">
        <f t="shared" si="101"/>
        <v>0</v>
      </c>
      <c r="CG66" s="18">
        <f t="shared" ref="CG66:CH66" si="102">SUM(CG67:CG68)</f>
        <v>0</v>
      </c>
      <c r="CH66" s="18">
        <f t="shared" si="102"/>
        <v>0</v>
      </c>
      <c r="CI66" s="18">
        <f t="shared" si="101"/>
        <v>0</v>
      </c>
      <c r="CJ66" s="18">
        <f t="shared" ref="CJ66" si="103">SUM(CJ67:CJ68)</f>
        <v>0</v>
      </c>
      <c r="CK66" s="18">
        <f t="shared" si="101"/>
        <v>0</v>
      </c>
      <c r="CL66" s="18">
        <f t="shared" ref="CL66" si="104">SUM(CL67:CL68)</f>
        <v>0</v>
      </c>
      <c r="CM66" s="18">
        <f t="shared" si="101"/>
        <v>0</v>
      </c>
      <c r="CN66" s="18"/>
      <c r="CO66" s="18">
        <f t="shared" si="101"/>
        <v>0</v>
      </c>
      <c r="CP66" s="74"/>
      <c r="CQ66" s="74"/>
      <c r="CR66" s="74"/>
      <c r="CS66" s="18">
        <f t="shared" si="101"/>
        <v>0</v>
      </c>
      <c r="CT66" s="18">
        <f t="shared" si="101"/>
        <v>0</v>
      </c>
      <c r="CU66" s="18">
        <f t="shared" si="101"/>
        <v>0</v>
      </c>
      <c r="CV66" s="46">
        <f t="shared" si="101"/>
        <v>0</v>
      </c>
      <c r="CW66" s="57"/>
    </row>
    <row r="67" spans="1:101" ht="15.6" x14ac:dyDescent="0.3">
      <c r="A67" s="105" t="s">
        <v>1</v>
      </c>
      <c r="B67" s="21" t="s">
        <v>129</v>
      </c>
      <c r="C67" s="22" t="s">
        <v>130</v>
      </c>
      <c r="D67" s="19">
        <f>SUM(E67+BZ67+CS67)</f>
        <v>7787237</v>
      </c>
      <c r="E67" s="19">
        <f>SUM(F67+BA67)</f>
        <v>7787237</v>
      </c>
      <c r="F67" s="19">
        <f>SUM(G67+H67+I67+P67+S67+T67+U67+AE67+AD67)</f>
        <v>7787237</v>
      </c>
      <c r="G67" s="23">
        <v>6331904</v>
      </c>
      <c r="H67" s="23">
        <v>164483</v>
      </c>
      <c r="I67" s="19">
        <f t="shared" si="7"/>
        <v>442230</v>
      </c>
      <c r="J67" s="23">
        <v>0</v>
      </c>
      <c r="K67" s="23">
        <v>150685</v>
      </c>
      <c r="L67" s="23">
        <v>0</v>
      </c>
      <c r="M67" s="23">
        <v>0</v>
      </c>
      <c r="N67" s="23">
        <v>291545</v>
      </c>
      <c r="O67" s="23">
        <v>0</v>
      </c>
      <c r="P67" s="19">
        <f t="shared" si="8"/>
        <v>0</v>
      </c>
      <c r="Q67" s="23">
        <v>0</v>
      </c>
      <c r="R67" s="23">
        <v>0</v>
      </c>
      <c r="S67" s="23">
        <v>0</v>
      </c>
      <c r="T67" s="23">
        <v>266980</v>
      </c>
      <c r="U67" s="19">
        <f t="shared" ref="U67:U68" si="105">SUM(V67:AC67)</f>
        <v>122082</v>
      </c>
      <c r="V67" s="23">
        <v>0</v>
      </c>
      <c r="W67" s="23">
        <v>64598</v>
      </c>
      <c r="X67" s="23">
        <v>42751</v>
      </c>
      <c r="Y67" s="23">
        <v>10379</v>
      </c>
      <c r="Z67" s="23">
        <v>2894</v>
      </c>
      <c r="AA67" s="23">
        <v>0</v>
      </c>
      <c r="AB67" s="23">
        <v>0</v>
      </c>
      <c r="AC67" s="23">
        <v>1460</v>
      </c>
      <c r="AD67" s="19">
        <v>0</v>
      </c>
      <c r="AE67" s="19">
        <f>SUM(AF67:AZ67)</f>
        <v>459558</v>
      </c>
      <c r="AF67" s="19">
        <v>0</v>
      </c>
      <c r="AG67" s="19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459558</v>
      </c>
      <c r="AX67" s="23">
        <v>0</v>
      </c>
      <c r="AY67" s="23">
        <v>0</v>
      </c>
      <c r="AZ67" s="23">
        <v>0</v>
      </c>
      <c r="BA67" s="19">
        <f>SUM(BB67+BF67+BI67+BK67+BN67)</f>
        <v>0</v>
      </c>
      <c r="BB67" s="19">
        <f>SUM(BC67:BE67)</f>
        <v>0</v>
      </c>
      <c r="BC67" s="19">
        <v>0</v>
      </c>
      <c r="BD67" s="19">
        <v>0</v>
      </c>
      <c r="BE67" s="19">
        <v>0</v>
      </c>
      <c r="BF67" s="19">
        <f>SUM(BH67:BH67)</f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f t="shared" si="9"/>
        <v>0</v>
      </c>
      <c r="BL67" s="19">
        <v>0</v>
      </c>
      <c r="BM67" s="19">
        <v>0</v>
      </c>
      <c r="BN67" s="19">
        <f>SUM(BO67:BY67)</f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f>SUM(CA67+CO67)</f>
        <v>0</v>
      </c>
      <c r="CA67" s="19">
        <f>SUM(CB67+CE67+CK67)</f>
        <v>0</v>
      </c>
      <c r="CB67" s="19">
        <f t="shared" si="10"/>
        <v>0</v>
      </c>
      <c r="CC67" s="19">
        <v>0</v>
      </c>
      <c r="CD67" s="23"/>
      <c r="CE67" s="19">
        <f>SUM(CF67:CJ67)</f>
        <v>0</v>
      </c>
      <c r="CF67" s="19">
        <v>0</v>
      </c>
      <c r="CG67" s="19">
        <v>0</v>
      </c>
      <c r="CH67" s="19"/>
      <c r="CI67" s="19">
        <v>0</v>
      </c>
      <c r="CJ67" s="19">
        <v>0</v>
      </c>
      <c r="CK67" s="19">
        <f>SUM(CL67:CN67)</f>
        <v>0</v>
      </c>
      <c r="CL67" s="19">
        <v>0</v>
      </c>
      <c r="CM67" s="19">
        <v>0</v>
      </c>
      <c r="CN67" s="19"/>
      <c r="CO67" s="19">
        <v>0</v>
      </c>
      <c r="CP67" s="75"/>
      <c r="CQ67" s="75"/>
      <c r="CR67" s="75"/>
      <c r="CS67" s="19">
        <f t="shared" si="11"/>
        <v>0</v>
      </c>
      <c r="CT67" s="19">
        <f t="shared" si="12"/>
        <v>0</v>
      </c>
      <c r="CU67" s="19">
        <v>0</v>
      </c>
      <c r="CV67" s="20">
        <v>0</v>
      </c>
      <c r="CW67" s="52"/>
    </row>
    <row r="68" spans="1:101" ht="15.6" x14ac:dyDescent="0.3">
      <c r="A68" s="105" t="s">
        <v>1</v>
      </c>
      <c r="B68" s="21" t="s">
        <v>131</v>
      </c>
      <c r="C68" s="22" t="s">
        <v>132</v>
      </c>
      <c r="D68" s="19">
        <f>SUM(E68+BZ68+CS68)</f>
        <v>107781434</v>
      </c>
      <c r="E68" s="19">
        <f>SUM(F68+BA68)</f>
        <v>107409434</v>
      </c>
      <c r="F68" s="19">
        <f>SUM(G68+H68+I68+P68+S68+T68+U68+AE68+AD68)</f>
        <v>107261024</v>
      </c>
      <c r="G68" s="23">
        <v>61892285</v>
      </c>
      <c r="H68" s="23">
        <v>2567753</v>
      </c>
      <c r="I68" s="19">
        <f t="shared" si="7"/>
        <v>29237833</v>
      </c>
      <c r="J68" s="23">
        <v>416844</v>
      </c>
      <c r="K68" s="23">
        <v>5800000</v>
      </c>
      <c r="L68" s="23">
        <v>19558235</v>
      </c>
      <c r="M68" s="23">
        <v>0</v>
      </c>
      <c r="N68" s="23">
        <v>1842477</v>
      </c>
      <c r="O68" s="23">
        <v>1620277</v>
      </c>
      <c r="P68" s="19">
        <f t="shared" si="8"/>
        <v>0</v>
      </c>
      <c r="Q68" s="23"/>
      <c r="R68" s="23"/>
      <c r="S68" s="23"/>
      <c r="T68" s="23">
        <v>207842</v>
      </c>
      <c r="U68" s="19">
        <f t="shared" si="105"/>
        <v>8309096</v>
      </c>
      <c r="V68" s="23">
        <v>719114</v>
      </c>
      <c r="W68" s="23">
        <v>5274</v>
      </c>
      <c r="X68" s="23">
        <v>3932148</v>
      </c>
      <c r="Y68" s="23">
        <v>3027185</v>
      </c>
      <c r="Z68" s="23">
        <v>175439</v>
      </c>
      <c r="AA68" s="23">
        <v>0</v>
      </c>
      <c r="AB68" s="23">
        <v>0</v>
      </c>
      <c r="AC68" s="23">
        <v>449936</v>
      </c>
      <c r="AD68" s="19">
        <v>0</v>
      </c>
      <c r="AE68" s="19">
        <f>SUM(AF68:AZ68)</f>
        <v>5046215</v>
      </c>
      <c r="AF68" s="19">
        <v>0</v>
      </c>
      <c r="AG68" s="19">
        <v>0</v>
      </c>
      <c r="AH68" s="23">
        <v>6936</v>
      </c>
      <c r="AI68" s="23">
        <v>500000</v>
      </c>
      <c r="AJ68" s="23">
        <v>0</v>
      </c>
      <c r="AK68" s="23">
        <v>0</v>
      </c>
      <c r="AL68" s="23">
        <v>0</v>
      </c>
      <c r="AM68" s="23">
        <v>0</v>
      </c>
      <c r="AN68" s="23">
        <v>26000</v>
      </c>
      <c r="AO68" s="23">
        <v>13386</v>
      </c>
      <c r="AP68" s="23">
        <v>0</v>
      </c>
      <c r="AQ68" s="23">
        <v>0</v>
      </c>
      <c r="AR68" s="23">
        <v>214791</v>
      </c>
      <c r="AS68" s="23">
        <v>160000</v>
      </c>
      <c r="AT68" s="23">
        <v>0</v>
      </c>
      <c r="AU68" s="23">
        <v>0</v>
      </c>
      <c r="AV68" s="23">
        <v>0</v>
      </c>
      <c r="AW68" s="23">
        <v>4000319</v>
      </c>
      <c r="AX68" s="23">
        <v>40000</v>
      </c>
      <c r="AY68" s="23">
        <v>0</v>
      </c>
      <c r="AZ68" s="23">
        <v>84783</v>
      </c>
      <c r="BA68" s="19">
        <f>SUM(BB68+BF68+BI68+BK68+BN68)</f>
        <v>148410</v>
      </c>
      <c r="BB68" s="19">
        <f>SUM(BC68:BE68)</f>
        <v>0</v>
      </c>
      <c r="BC68" s="19">
        <v>0</v>
      </c>
      <c r="BD68" s="19">
        <v>0</v>
      </c>
      <c r="BE68" s="19">
        <v>0</v>
      </c>
      <c r="BF68" s="19">
        <f>SUM(BH68:BH68)</f>
        <v>0</v>
      </c>
      <c r="BG68" s="19">
        <v>0</v>
      </c>
      <c r="BH68" s="19">
        <v>0</v>
      </c>
      <c r="BI68" s="19">
        <v>0</v>
      </c>
      <c r="BJ68" s="19"/>
      <c r="BK68" s="19">
        <f t="shared" si="9"/>
        <v>148410</v>
      </c>
      <c r="BL68" s="19">
        <v>148410</v>
      </c>
      <c r="BM68" s="19"/>
      <c r="BN68" s="19">
        <f>SUM(BO68:BY68)</f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f>SUM(CA68+CO68)</f>
        <v>372000</v>
      </c>
      <c r="CA68" s="19">
        <f>SUM(CB68+CE68+CK68)</f>
        <v>372000</v>
      </c>
      <c r="CB68" s="19">
        <f t="shared" si="10"/>
        <v>372000</v>
      </c>
      <c r="CC68" s="19">
        <v>0</v>
      </c>
      <c r="CD68" s="23">
        <v>372000</v>
      </c>
      <c r="CE68" s="19">
        <f>SUM(CF68:CJ68)</f>
        <v>0</v>
      </c>
      <c r="CF68" s="19">
        <v>0</v>
      </c>
      <c r="CG68" s="19">
        <v>0</v>
      </c>
      <c r="CH68" s="19"/>
      <c r="CI68" s="19">
        <v>0</v>
      </c>
      <c r="CJ68" s="19">
        <v>0</v>
      </c>
      <c r="CK68" s="19">
        <f>SUM(CL68:CN68)</f>
        <v>0</v>
      </c>
      <c r="CL68" s="19">
        <v>0</v>
      </c>
      <c r="CM68" s="19"/>
      <c r="CN68" s="19"/>
      <c r="CO68" s="19">
        <v>0</v>
      </c>
      <c r="CP68" s="75"/>
      <c r="CQ68" s="75"/>
      <c r="CR68" s="75"/>
      <c r="CS68" s="19">
        <f t="shared" si="11"/>
        <v>0</v>
      </c>
      <c r="CT68" s="19">
        <f t="shared" si="12"/>
        <v>0</v>
      </c>
      <c r="CU68" s="19">
        <v>0</v>
      </c>
      <c r="CV68" s="20">
        <v>0</v>
      </c>
      <c r="CW68" s="52"/>
    </row>
    <row r="69" spans="1:101" s="58" customFormat="1" ht="15.6" x14ac:dyDescent="0.3">
      <c r="A69" s="104" t="s">
        <v>133</v>
      </c>
      <c r="B69" s="16" t="s">
        <v>1</v>
      </c>
      <c r="C69" s="17" t="s">
        <v>134</v>
      </c>
      <c r="D69" s="18">
        <f t="shared" ref="D69:AK69" si="106">SUM(D70)</f>
        <v>126449978</v>
      </c>
      <c r="E69" s="18">
        <f t="shared" si="106"/>
        <v>126227389</v>
      </c>
      <c r="F69" s="18">
        <f t="shared" si="106"/>
        <v>125539458</v>
      </c>
      <c r="G69" s="18">
        <f t="shared" si="106"/>
        <v>98658546</v>
      </c>
      <c r="H69" s="18">
        <f t="shared" si="106"/>
        <v>1089595</v>
      </c>
      <c r="I69" s="18">
        <f t="shared" si="106"/>
        <v>9447651</v>
      </c>
      <c r="J69" s="18">
        <f t="shared" si="106"/>
        <v>216741</v>
      </c>
      <c r="K69" s="18">
        <f t="shared" si="106"/>
        <v>3207554</v>
      </c>
      <c r="L69" s="18">
        <f t="shared" si="106"/>
        <v>1225332</v>
      </c>
      <c r="M69" s="18">
        <f t="shared" si="106"/>
        <v>245405</v>
      </c>
      <c r="N69" s="18">
        <f t="shared" si="106"/>
        <v>4120464</v>
      </c>
      <c r="O69" s="18">
        <f t="shared" si="106"/>
        <v>432155</v>
      </c>
      <c r="P69" s="18">
        <f t="shared" si="106"/>
        <v>6465745</v>
      </c>
      <c r="Q69" s="18">
        <f t="shared" si="106"/>
        <v>25745</v>
      </c>
      <c r="R69" s="18">
        <f t="shared" si="106"/>
        <v>6440000</v>
      </c>
      <c r="S69" s="18">
        <f t="shared" si="106"/>
        <v>0</v>
      </c>
      <c r="T69" s="18">
        <f t="shared" si="106"/>
        <v>606400</v>
      </c>
      <c r="U69" s="18">
        <f t="shared" si="106"/>
        <v>1903120</v>
      </c>
      <c r="V69" s="18">
        <f t="shared" si="106"/>
        <v>87985</v>
      </c>
      <c r="W69" s="18">
        <f t="shared" si="106"/>
        <v>547242</v>
      </c>
      <c r="X69" s="18">
        <f t="shared" si="106"/>
        <v>1061908</v>
      </c>
      <c r="Y69" s="18">
        <f t="shared" si="106"/>
        <v>136441</v>
      </c>
      <c r="Z69" s="18">
        <f t="shared" si="106"/>
        <v>41357</v>
      </c>
      <c r="AA69" s="18">
        <f t="shared" si="106"/>
        <v>0</v>
      </c>
      <c r="AB69" s="18">
        <f t="shared" si="106"/>
        <v>0</v>
      </c>
      <c r="AC69" s="18">
        <f t="shared" si="106"/>
        <v>28187</v>
      </c>
      <c r="AD69" s="18">
        <f t="shared" si="106"/>
        <v>0</v>
      </c>
      <c r="AE69" s="18">
        <f t="shared" si="106"/>
        <v>7368401</v>
      </c>
      <c r="AF69" s="18">
        <f t="shared" si="106"/>
        <v>0</v>
      </c>
      <c r="AG69" s="18">
        <f t="shared" si="106"/>
        <v>0</v>
      </c>
      <c r="AH69" s="18">
        <f t="shared" si="106"/>
        <v>74372</v>
      </c>
      <c r="AI69" s="18">
        <f t="shared" si="106"/>
        <v>232283</v>
      </c>
      <c r="AJ69" s="18">
        <f t="shared" si="106"/>
        <v>0</v>
      </c>
      <c r="AK69" s="18">
        <f t="shared" si="106"/>
        <v>7231</v>
      </c>
      <c r="AL69" s="18">
        <f t="shared" ref="AL69:CV69" si="107">SUM(AL70)</f>
        <v>34067</v>
      </c>
      <c r="AM69" s="18">
        <f t="shared" si="107"/>
        <v>7413</v>
      </c>
      <c r="AN69" s="18">
        <f t="shared" si="107"/>
        <v>118649</v>
      </c>
      <c r="AO69" s="18">
        <f t="shared" si="107"/>
        <v>18042</v>
      </c>
      <c r="AP69" s="18">
        <f t="shared" si="107"/>
        <v>1073</v>
      </c>
      <c r="AQ69" s="18">
        <f t="shared" si="107"/>
        <v>140404</v>
      </c>
      <c r="AR69" s="18">
        <f t="shared" si="107"/>
        <v>0</v>
      </c>
      <c r="AS69" s="18">
        <f t="shared" si="107"/>
        <v>0</v>
      </c>
      <c r="AT69" s="18"/>
      <c r="AU69" s="18"/>
      <c r="AV69" s="18">
        <f t="shared" si="107"/>
        <v>0</v>
      </c>
      <c r="AW69" s="18">
        <f t="shared" si="107"/>
        <v>6300000</v>
      </c>
      <c r="AX69" s="18">
        <f t="shared" si="107"/>
        <v>0</v>
      </c>
      <c r="AY69" s="18"/>
      <c r="AZ69" s="18">
        <f t="shared" si="107"/>
        <v>434867</v>
      </c>
      <c r="BA69" s="18">
        <f t="shared" si="107"/>
        <v>687931</v>
      </c>
      <c r="BB69" s="18">
        <f t="shared" si="107"/>
        <v>0</v>
      </c>
      <c r="BC69" s="18">
        <f t="shared" si="107"/>
        <v>0</v>
      </c>
      <c r="BD69" s="18">
        <f t="shared" si="107"/>
        <v>0</v>
      </c>
      <c r="BE69" s="18">
        <f t="shared" si="107"/>
        <v>0</v>
      </c>
      <c r="BF69" s="18">
        <f t="shared" si="107"/>
        <v>0</v>
      </c>
      <c r="BG69" s="18">
        <f t="shared" si="107"/>
        <v>0</v>
      </c>
      <c r="BH69" s="18">
        <f t="shared" si="107"/>
        <v>0</v>
      </c>
      <c r="BI69" s="18">
        <f t="shared" si="107"/>
        <v>0</v>
      </c>
      <c r="BJ69" s="18">
        <f t="shared" si="107"/>
        <v>0</v>
      </c>
      <c r="BK69" s="18">
        <f t="shared" si="107"/>
        <v>133400</v>
      </c>
      <c r="BL69" s="18">
        <f t="shared" si="107"/>
        <v>133400</v>
      </c>
      <c r="BM69" s="18">
        <f t="shared" si="107"/>
        <v>0</v>
      </c>
      <c r="BN69" s="18">
        <f t="shared" si="107"/>
        <v>554531</v>
      </c>
      <c r="BO69" s="18">
        <f t="shared" si="107"/>
        <v>0</v>
      </c>
      <c r="BP69" s="18">
        <f t="shared" si="107"/>
        <v>0</v>
      </c>
      <c r="BQ69" s="18">
        <f t="shared" si="107"/>
        <v>0</v>
      </c>
      <c r="BR69" s="18">
        <f t="shared" si="107"/>
        <v>0</v>
      </c>
      <c r="BS69" s="18">
        <f t="shared" si="107"/>
        <v>0</v>
      </c>
      <c r="BT69" s="18">
        <f t="shared" si="107"/>
        <v>0</v>
      </c>
      <c r="BU69" s="18">
        <f t="shared" si="107"/>
        <v>0</v>
      </c>
      <c r="BV69" s="18">
        <f t="shared" si="107"/>
        <v>0</v>
      </c>
      <c r="BW69" s="18">
        <f t="shared" si="107"/>
        <v>0</v>
      </c>
      <c r="BX69" s="18">
        <f t="shared" si="107"/>
        <v>100000</v>
      </c>
      <c r="BY69" s="18">
        <f t="shared" si="107"/>
        <v>454531</v>
      </c>
      <c r="BZ69" s="18">
        <f t="shared" si="107"/>
        <v>222589</v>
      </c>
      <c r="CA69" s="18">
        <f t="shared" si="107"/>
        <v>222589</v>
      </c>
      <c r="CB69" s="18">
        <f t="shared" si="107"/>
        <v>222589</v>
      </c>
      <c r="CC69" s="18">
        <f t="shared" si="107"/>
        <v>0</v>
      </c>
      <c r="CD69" s="18">
        <f t="shared" si="107"/>
        <v>222589</v>
      </c>
      <c r="CE69" s="18">
        <f t="shared" si="107"/>
        <v>0</v>
      </c>
      <c r="CF69" s="18">
        <f t="shared" si="107"/>
        <v>0</v>
      </c>
      <c r="CG69" s="18">
        <f t="shared" si="107"/>
        <v>0</v>
      </c>
      <c r="CH69" s="18">
        <f t="shared" si="107"/>
        <v>0</v>
      </c>
      <c r="CI69" s="18">
        <f t="shared" si="107"/>
        <v>0</v>
      </c>
      <c r="CJ69" s="18">
        <f t="shared" si="107"/>
        <v>0</v>
      </c>
      <c r="CK69" s="18">
        <f t="shared" si="107"/>
        <v>0</v>
      </c>
      <c r="CL69" s="18">
        <f t="shared" si="107"/>
        <v>0</v>
      </c>
      <c r="CM69" s="18">
        <f t="shared" si="107"/>
        <v>0</v>
      </c>
      <c r="CN69" s="18"/>
      <c r="CO69" s="18">
        <f t="shared" si="107"/>
        <v>0</v>
      </c>
      <c r="CP69" s="74"/>
      <c r="CQ69" s="74"/>
      <c r="CR69" s="74"/>
      <c r="CS69" s="18">
        <f t="shared" si="107"/>
        <v>0</v>
      </c>
      <c r="CT69" s="18">
        <f t="shared" si="107"/>
        <v>0</v>
      </c>
      <c r="CU69" s="18">
        <f t="shared" si="107"/>
        <v>0</v>
      </c>
      <c r="CV69" s="46">
        <f t="shared" si="107"/>
        <v>0</v>
      </c>
      <c r="CW69" s="57"/>
    </row>
    <row r="70" spans="1:101" s="79" customFormat="1" ht="31.2" x14ac:dyDescent="0.3">
      <c r="A70" s="107" t="s">
        <v>1</v>
      </c>
      <c r="B70" s="72" t="s">
        <v>135</v>
      </c>
      <c r="C70" s="73" t="s">
        <v>136</v>
      </c>
      <c r="D70" s="75">
        <f>SUM(E70+BZ70+CS70)</f>
        <v>126449978</v>
      </c>
      <c r="E70" s="75">
        <f>SUM(F70+BA70)</f>
        <v>126227389</v>
      </c>
      <c r="F70" s="75">
        <f>SUM(G70+H70+I70+P70+S70+T70+U70+AE70+AD70)</f>
        <v>125539458</v>
      </c>
      <c r="G70" s="76">
        <v>98658546</v>
      </c>
      <c r="H70" s="76">
        <v>1089595</v>
      </c>
      <c r="I70" s="75">
        <f t="shared" si="7"/>
        <v>9447651</v>
      </c>
      <c r="J70" s="76">
        <v>216741</v>
      </c>
      <c r="K70" s="76">
        <v>3207554</v>
      </c>
      <c r="L70" s="76">
        <v>1225332</v>
      </c>
      <c r="M70" s="76">
        <v>245405</v>
      </c>
      <c r="N70" s="76">
        <v>4120464</v>
      </c>
      <c r="O70" s="76">
        <v>432155</v>
      </c>
      <c r="P70" s="75">
        <f t="shared" si="8"/>
        <v>6465745</v>
      </c>
      <c r="Q70" s="76">
        <v>25745</v>
      </c>
      <c r="R70" s="76">
        <v>6440000</v>
      </c>
      <c r="S70" s="76">
        <v>0</v>
      </c>
      <c r="T70" s="76">
        <v>606400</v>
      </c>
      <c r="U70" s="75">
        <f>SUM(V70:AC70)</f>
        <v>1903120</v>
      </c>
      <c r="V70" s="76">
        <v>87985</v>
      </c>
      <c r="W70" s="76">
        <v>547242</v>
      </c>
      <c r="X70" s="76">
        <v>1061908</v>
      </c>
      <c r="Y70" s="76">
        <v>136441</v>
      </c>
      <c r="Z70" s="76">
        <v>41357</v>
      </c>
      <c r="AA70" s="76">
        <v>0</v>
      </c>
      <c r="AB70" s="76">
        <v>0</v>
      </c>
      <c r="AC70" s="76">
        <v>28187</v>
      </c>
      <c r="AD70" s="75">
        <v>0</v>
      </c>
      <c r="AE70" s="75">
        <f>SUM(AF70:AZ70)</f>
        <v>7368401</v>
      </c>
      <c r="AF70" s="75">
        <v>0</v>
      </c>
      <c r="AG70" s="75">
        <v>0</v>
      </c>
      <c r="AH70" s="76">
        <v>74372</v>
      </c>
      <c r="AI70" s="76">
        <v>232283</v>
      </c>
      <c r="AJ70" s="76">
        <v>0</v>
      </c>
      <c r="AK70" s="76">
        <v>7231</v>
      </c>
      <c r="AL70" s="76">
        <v>34067</v>
      </c>
      <c r="AM70" s="76">
        <v>7413</v>
      </c>
      <c r="AN70" s="76">
        <v>118649</v>
      </c>
      <c r="AO70" s="76">
        <v>18042</v>
      </c>
      <c r="AP70" s="76">
        <v>1073</v>
      </c>
      <c r="AQ70" s="76">
        <v>140404</v>
      </c>
      <c r="AR70" s="76">
        <v>0</v>
      </c>
      <c r="AS70" s="76">
        <v>0</v>
      </c>
      <c r="AT70" s="76">
        <v>0</v>
      </c>
      <c r="AU70" s="76">
        <v>0</v>
      </c>
      <c r="AV70" s="76">
        <v>0</v>
      </c>
      <c r="AW70" s="76">
        <v>6300000</v>
      </c>
      <c r="AX70" s="76">
        <v>0</v>
      </c>
      <c r="AY70" s="76">
        <v>0</v>
      </c>
      <c r="AZ70" s="76">
        <v>434867</v>
      </c>
      <c r="BA70" s="75">
        <f>SUM(BB70+BF70+BI70+BK70+BN70)</f>
        <v>687931</v>
      </c>
      <c r="BB70" s="75">
        <f>SUM(BC70:BE70)</f>
        <v>0</v>
      </c>
      <c r="BC70" s="75">
        <v>0</v>
      </c>
      <c r="BD70" s="75">
        <v>0</v>
      </c>
      <c r="BE70" s="75">
        <v>0</v>
      </c>
      <c r="BF70" s="75">
        <f>SUM(BH70:BH70)</f>
        <v>0</v>
      </c>
      <c r="BG70" s="75">
        <v>0</v>
      </c>
      <c r="BH70" s="75">
        <v>0</v>
      </c>
      <c r="BI70" s="75">
        <v>0</v>
      </c>
      <c r="BJ70" s="75"/>
      <c r="BK70" s="75">
        <f t="shared" si="9"/>
        <v>133400</v>
      </c>
      <c r="BL70" s="75">
        <v>133400</v>
      </c>
      <c r="BM70" s="75"/>
      <c r="BN70" s="75">
        <f>SUM(BO70:BY70)</f>
        <v>554531</v>
      </c>
      <c r="BO70" s="75">
        <v>0</v>
      </c>
      <c r="BP70" s="75">
        <v>0</v>
      </c>
      <c r="BQ70" s="75">
        <v>0</v>
      </c>
      <c r="BR70" s="75">
        <v>0</v>
      </c>
      <c r="BS70" s="75">
        <v>0</v>
      </c>
      <c r="BT70" s="75">
        <v>0</v>
      </c>
      <c r="BU70" s="75">
        <v>0</v>
      </c>
      <c r="BV70" s="75">
        <v>0</v>
      </c>
      <c r="BW70" s="75">
        <v>0</v>
      </c>
      <c r="BX70" s="75">
        <f>0+100000</f>
        <v>100000</v>
      </c>
      <c r="BY70" s="76">
        <f>286531+168000</f>
        <v>454531</v>
      </c>
      <c r="BZ70" s="75">
        <f>SUM(CA70+CO70)</f>
        <v>222589</v>
      </c>
      <c r="CA70" s="75">
        <f>SUM(CB70+CE70+CK70)</f>
        <v>222589</v>
      </c>
      <c r="CB70" s="75">
        <f t="shared" si="10"/>
        <v>222589</v>
      </c>
      <c r="CC70" s="75">
        <v>0</v>
      </c>
      <c r="CD70" s="76">
        <v>222589</v>
      </c>
      <c r="CE70" s="75">
        <f>SUM(CF70:CJ70)</f>
        <v>0</v>
      </c>
      <c r="CF70" s="75">
        <v>0</v>
      </c>
      <c r="CG70" s="75">
        <v>0</v>
      </c>
      <c r="CH70" s="76"/>
      <c r="CI70" s="76"/>
      <c r="CJ70" s="76"/>
      <c r="CK70" s="75">
        <f>SUM(CL70:CN70)</f>
        <v>0</v>
      </c>
      <c r="CL70" s="75"/>
      <c r="CM70" s="76"/>
      <c r="CN70" s="75"/>
      <c r="CO70" s="75">
        <v>0</v>
      </c>
      <c r="CP70" s="75"/>
      <c r="CQ70" s="75"/>
      <c r="CR70" s="75"/>
      <c r="CS70" s="75">
        <f t="shared" si="11"/>
        <v>0</v>
      </c>
      <c r="CT70" s="75">
        <f t="shared" si="12"/>
        <v>0</v>
      </c>
      <c r="CU70" s="75">
        <v>0</v>
      </c>
      <c r="CV70" s="78">
        <v>0</v>
      </c>
    </row>
    <row r="71" spans="1:101" s="58" customFormat="1" ht="15.6" x14ac:dyDescent="0.3">
      <c r="A71" s="104" t="s">
        <v>137</v>
      </c>
      <c r="B71" s="16" t="s">
        <v>1</v>
      </c>
      <c r="C71" s="17" t="s">
        <v>138</v>
      </c>
      <c r="D71" s="18">
        <f t="shared" ref="D71:AK71" si="108">SUM(D72)</f>
        <v>23658118</v>
      </c>
      <c r="E71" s="18">
        <f t="shared" si="108"/>
        <v>23608118</v>
      </c>
      <c r="F71" s="18">
        <f t="shared" si="108"/>
        <v>23608118</v>
      </c>
      <c r="G71" s="18">
        <f t="shared" si="108"/>
        <v>19676499</v>
      </c>
      <c r="H71" s="18">
        <f t="shared" si="108"/>
        <v>652395</v>
      </c>
      <c r="I71" s="18">
        <f t="shared" si="108"/>
        <v>2074403</v>
      </c>
      <c r="J71" s="18">
        <f t="shared" si="108"/>
        <v>3363</v>
      </c>
      <c r="K71" s="18">
        <f t="shared" si="108"/>
        <v>405880</v>
      </c>
      <c r="L71" s="18">
        <f t="shared" si="108"/>
        <v>0</v>
      </c>
      <c r="M71" s="18">
        <f t="shared" si="108"/>
        <v>0</v>
      </c>
      <c r="N71" s="18">
        <f t="shared" si="108"/>
        <v>973332</v>
      </c>
      <c r="O71" s="18">
        <f t="shared" si="108"/>
        <v>691828</v>
      </c>
      <c r="P71" s="18">
        <f t="shared" si="108"/>
        <v>0</v>
      </c>
      <c r="Q71" s="18">
        <f t="shared" si="108"/>
        <v>0</v>
      </c>
      <c r="R71" s="18">
        <f t="shared" si="108"/>
        <v>0</v>
      </c>
      <c r="S71" s="18">
        <f t="shared" si="108"/>
        <v>0</v>
      </c>
      <c r="T71" s="18">
        <f t="shared" si="108"/>
        <v>130914</v>
      </c>
      <c r="U71" s="18">
        <f t="shared" si="108"/>
        <v>472865</v>
      </c>
      <c r="V71" s="18">
        <f t="shared" si="108"/>
        <v>60000</v>
      </c>
      <c r="W71" s="18">
        <f t="shared" si="108"/>
        <v>265618</v>
      </c>
      <c r="X71" s="18">
        <f t="shared" si="108"/>
        <v>109761</v>
      </c>
      <c r="Y71" s="18">
        <f t="shared" si="108"/>
        <v>26539</v>
      </c>
      <c r="Z71" s="18">
        <f t="shared" si="108"/>
        <v>10947</v>
      </c>
      <c r="AA71" s="18">
        <f t="shared" si="108"/>
        <v>0</v>
      </c>
      <c r="AB71" s="18">
        <f t="shared" si="108"/>
        <v>0</v>
      </c>
      <c r="AC71" s="18">
        <f t="shared" si="108"/>
        <v>0</v>
      </c>
      <c r="AD71" s="18">
        <f t="shared" si="108"/>
        <v>0</v>
      </c>
      <c r="AE71" s="18">
        <f t="shared" si="108"/>
        <v>601042</v>
      </c>
      <c r="AF71" s="18">
        <f t="shared" si="108"/>
        <v>0</v>
      </c>
      <c r="AG71" s="18">
        <f t="shared" si="108"/>
        <v>0</v>
      </c>
      <c r="AH71" s="18">
        <f t="shared" si="108"/>
        <v>6086</v>
      </c>
      <c r="AI71" s="18">
        <f t="shared" si="108"/>
        <v>0</v>
      </c>
      <c r="AJ71" s="18">
        <f t="shared" si="108"/>
        <v>0</v>
      </c>
      <c r="AK71" s="18">
        <f t="shared" si="108"/>
        <v>0</v>
      </c>
      <c r="AL71" s="18">
        <f t="shared" ref="AL71:CV71" si="109">SUM(AL72)</f>
        <v>0</v>
      </c>
      <c r="AM71" s="18">
        <f t="shared" si="109"/>
        <v>0</v>
      </c>
      <c r="AN71" s="18">
        <f t="shared" si="109"/>
        <v>40000</v>
      </c>
      <c r="AO71" s="18">
        <f t="shared" si="109"/>
        <v>14550</v>
      </c>
      <c r="AP71" s="18">
        <f t="shared" si="109"/>
        <v>730</v>
      </c>
      <c r="AQ71" s="18">
        <f t="shared" si="109"/>
        <v>0</v>
      </c>
      <c r="AR71" s="18">
        <f t="shared" si="109"/>
        <v>391107</v>
      </c>
      <c r="AS71" s="18">
        <f t="shared" si="109"/>
        <v>33600</v>
      </c>
      <c r="AT71" s="18"/>
      <c r="AU71" s="18"/>
      <c r="AV71" s="18">
        <f t="shared" si="109"/>
        <v>0</v>
      </c>
      <c r="AW71" s="18">
        <f t="shared" si="109"/>
        <v>39089</v>
      </c>
      <c r="AX71" s="18">
        <f t="shared" si="109"/>
        <v>65880</v>
      </c>
      <c r="AY71" s="18"/>
      <c r="AZ71" s="18">
        <f t="shared" si="109"/>
        <v>10000</v>
      </c>
      <c r="BA71" s="18">
        <f t="shared" si="109"/>
        <v>0</v>
      </c>
      <c r="BB71" s="18">
        <f t="shared" si="109"/>
        <v>0</v>
      </c>
      <c r="BC71" s="18">
        <f t="shared" si="109"/>
        <v>0</v>
      </c>
      <c r="BD71" s="18">
        <f t="shared" si="109"/>
        <v>0</v>
      </c>
      <c r="BE71" s="18">
        <f t="shared" si="109"/>
        <v>0</v>
      </c>
      <c r="BF71" s="18">
        <f t="shared" si="109"/>
        <v>0</v>
      </c>
      <c r="BG71" s="18">
        <f t="shared" si="109"/>
        <v>0</v>
      </c>
      <c r="BH71" s="18">
        <f t="shared" si="109"/>
        <v>0</v>
      </c>
      <c r="BI71" s="18">
        <f t="shared" si="109"/>
        <v>0</v>
      </c>
      <c r="BJ71" s="18">
        <f t="shared" si="109"/>
        <v>0</v>
      </c>
      <c r="BK71" s="18">
        <f t="shared" si="109"/>
        <v>0</v>
      </c>
      <c r="BL71" s="18">
        <f t="shared" si="109"/>
        <v>0</v>
      </c>
      <c r="BM71" s="18">
        <f t="shared" si="109"/>
        <v>0</v>
      </c>
      <c r="BN71" s="18">
        <f t="shared" si="109"/>
        <v>0</v>
      </c>
      <c r="BO71" s="18">
        <f t="shared" si="109"/>
        <v>0</v>
      </c>
      <c r="BP71" s="18">
        <f t="shared" si="109"/>
        <v>0</v>
      </c>
      <c r="BQ71" s="18">
        <f t="shared" si="109"/>
        <v>0</v>
      </c>
      <c r="BR71" s="18">
        <f t="shared" si="109"/>
        <v>0</v>
      </c>
      <c r="BS71" s="18">
        <f t="shared" si="109"/>
        <v>0</v>
      </c>
      <c r="BT71" s="18">
        <f t="shared" si="109"/>
        <v>0</v>
      </c>
      <c r="BU71" s="18">
        <f t="shared" si="109"/>
        <v>0</v>
      </c>
      <c r="BV71" s="18">
        <f t="shared" si="109"/>
        <v>0</v>
      </c>
      <c r="BW71" s="18">
        <f t="shared" si="109"/>
        <v>0</v>
      </c>
      <c r="BX71" s="18">
        <f t="shared" si="109"/>
        <v>0</v>
      </c>
      <c r="BY71" s="18">
        <f t="shared" si="109"/>
        <v>0</v>
      </c>
      <c r="BZ71" s="18">
        <f t="shared" si="109"/>
        <v>50000</v>
      </c>
      <c r="CA71" s="18">
        <f t="shared" si="109"/>
        <v>50000</v>
      </c>
      <c r="CB71" s="18">
        <f t="shared" si="109"/>
        <v>50000</v>
      </c>
      <c r="CC71" s="18">
        <f t="shared" si="109"/>
        <v>0</v>
      </c>
      <c r="CD71" s="18">
        <f t="shared" si="109"/>
        <v>50000</v>
      </c>
      <c r="CE71" s="18">
        <f t="shared" si="109"/>
        <v>0</v>
      </c>
      <c r="CF71" s="18">
        <f t="shared" si="109"/>
        <v>0</v>
      </c>
      <c r="CG71" s="18">
        <f t="shared" si="109"/>
        <v>0</v>
      </c>
      <c r="CH71" s="18">
        <f t="shared" si="109"/>
        <v>0</v>
      </c>
      <c r="CI71" s="18">
        <f t="shared" si="109"/>
        <v>0</v>
      </c>
      <c r="CJ71" s="18">
        <f t="shared" si="109"/>
        <v>0</v>
      </c>
      <c r="CK71" s="18">
        <f t="shared" si="109"/>
        <v>0</v>
      </c>
      <c r="CL71" s="18">
        <f t="shared" si="109"/>
        <v>0</v>
      </c>
      <c r="CM71" s="18">
        <f t="shared" si="109"/>
        <v>0</v>
      </c>
      <c r="CN71" s="18"/>
      <c r="CO71" s="18">
        <f t="shared" si="109"/>
        <v>0</v>
      </c>
      <c r="CP71" s="74"/>
      <c r="CQ71" s="74"/>
      <c r="CR71" s="74"/>
      <c r="CS71" s="18">
        <f t="shared" si="109"/>
        <v>0</v>
      </c>
      <c r="CT71" s="18">
        <f t="shared" si="109"/>
        <v>0</v>
      </c>
      <c r="CU71" s="18">
        <f t="shared" si="109"/>
        <v>0</v>
      </c>
      <c r="CV71" s="46">
        <f t="shared" si="109"/>
        <v>0</v>
      </c>
      <c r="CW71" s="57"/>
    </row>
    <row r="72" spans="1:101" ht="15.6" x14ac:dyDescent="0.3">
      <c r="A72" s="105" t="s">
        <v>1</v>
      </c>
      <c r="B72" s="21" t="s">
        <v>139</v>
      </c>
      <c r="C72" s="22" t="s">
        <v>140</v>
      </c>
      <c r="D72" s="19">
        <f>SUM(E72+BZ72+CS72)</f>
        <v>23658118</v>
      </c>
      <c r="E72" s="19">
        <f>SUM(F72+BA72)</f>
        <v>23608118</v>
      </c>
      <c r="F72" s="19">
        <f>SUM(G72+H72+I72+P72+S72+T72+U72+AE72+AD72)</f>
        <v>23608118</v>
      </c>
      <c r="G72" s="23">
        <v>19676499</v>
      </c>
      <c r="H72" s="23">
        <v>652395</v>
      </c>
      <c r="I72" s="19">
        <f t="shared" ref="I72:I142" si="110">SUM(J72:O72)</f>
        <v>2074403</v>
      </c>
      <c r="J72" s="23">
        <v>3363</v>
      </c>
      <c r="K72" s="23">
        <v>405880</v>
      </c>
      <c r="L72" s="23">
        <v>0</v>
      </c>
      <c r="M72" s="23">
        <v>0</v>
      </c>
      <c r="N72" s="23">
        <v>973332</v>
      </c>
      <c r="O72" s="23">
        <v>691828</v>
      </c>
      <c r="P72" s="19">
        <f t="shared" ref="P72:P142" si="111">SUM(Q72:R72)</f>
        <v>0</v>
      </c>
      <c r="Q72" s="24"/>
      <c r="R72" s="24"/>
      <c r="S72" s="24"/>
      <c r="T72" s="23">
        <v>130914</v>
      </c>
      <c r="U72" s="19">
        <f>SUM(V72:AC72)</f>
        <v>472865</v>
      </c>
      <c r="V72" s="23">
        <v>60000</v>
      </c>
      <c r="W72" s="23">
        <v>265618</v>
      </c>
      <c r="X72" s="23">
        <v>109761</v>
      </c>
      <c r="Y72" s="23">
        <v>26539</v>
      </c>
      <c r="Z72" s="23">
        <v>10947</v>
      </c>
      <c r="AA72" s="23">
        <v>0</v>
      </c>
      <c r="AB72" s="23">
        <v>0</v>
      </c>
      <c r="AC72" s="23">
        <v>0</v>
      </c>
      <c r="AD72" s="19">
        <v>0</v>
      </c>
      <c r="AE72" s="19">
        <f>SUM(AF72:AZ72)</f>
        <v>601042</v>
      </c>
      <c r="AF72" s="19">
        <v>0</v>
      </c>
      <c r="AG72" s="19">
        <v>0</v>
      </c>
      <c r="AH72" s="23">
        <v>6086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40000</v>
      </c>
      <c r="AO72" s="23">
        <v>14550</v>
      </c>
      <c r="AP72" s="23">
        <v>730</v>
      </c>
      <c r="AQ72" s="23">
        <v>0</v>
      </c>
      <c r="AR72" s="23">
        <v>391107</v>
      </c>
      <c r="AS72" s="23">
        <v>33600</v>
      </c>
      <c r="AT72" s="23">
        <v>0</v>
      </c>
      <c r="AU72" s="23">
        <v>0</v>
      </c>
      <c r="AV72" s="23">
        <v>0</v>
      </c>
      <c r="AW72" s="23">
        <v>39089</v>
      </c>
      <c r="AX72" s="23">
        <v>65880</v>
      </c>
      <c r="AY72" s="23">
        <v>0</v>
      </c>
      <c r="AZ72" s="23">
        <v>10000</v>
      </c>
      <c r="BA72" s="19">
        <f>SUM(BB72+BF72+BI72+BK72+BN72)</f>
        <v>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f t="shared" ref="BK72:BK142" si="112">SUM(BL72)</f>
        <v>0</v>
      </c>
      <c r="BL72" s="19">
        <v>0</v>
      </c>
      <c r="BM72" s="19">
        <v>0</v>
      </c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/>
      <c r="BY72" s="19">
        <v>0</v>
      </c>
      <c r="BZ72" s="19">
        <f>SUM(CA72+CO72)</f>
        <v>50000</v>
      </c>
      <c r="CA72" s="19">
        <f>SUM(CB72+CE72+CK72)</f>
        <v>50000</v>
      </c>
      <c r="CB72" s="19">
        <f t="shared" ref="CB72:CB142" si="113">SUM(CC72:CD72)</f>
        <v>50000</v>
      </c>
      <c r="CC72" s="19">
        <v>0</v>
      </c>
      <c r="CD72" s="23">
        <v>50000</v>
      </c>
      <c r="CE72" s="19">
        <f>SUM(CF72:CJ72)</f>
        <v>0</v>
      </c>
      <c r="CF72" s="19">
        <v>0</v>
      </c>
      <c r="CG72" s="19">
        <v>0</v>
      </c>
      <c r="CH72" s="19"/>
      <c r="CI72" s="19">
        <v>0</v>
      </c>
      <c r="CJ72" s="19">
        <v>0</v>
      </c>
      <c r="CK72" s="19">
        <f>SUM(CL72:CN72)</f>
        <v>0</v>
      </c>
      <c r="CL72" s="24"/>
      <c r="CM72" s="19"/>
      <c r="CN72" s="19"/>
      <c r="CO72" s="19">
        <v>0</v>
      </c>
      <c r="CP72" s="75"/>
      <c r="CQ72" s="75"/>
      <c r="CR72" s="75"/>
      <c r="CS72" s="19">
        <f t="shared" ref="CS72:CS142" si="114">SUM(CT72)</f>
        <v>0</v>
      </c>
      <c r="CT72" s="19">
        <f t="shared" ref="CT72:CT142" si="115">SUM(CU72:CV72)</f>
        <v>0</v>
      </c>
      <c r="CU72" s="19">
        <v>0</v>
      </c>
      <c r="CV72" s="20">
        <v>0</v>
      </c>
      <c r="CW72" s="52"/>
    </row>
    <row r="73" spans="1:101" s="58" customFormat="1" ht="31.2" x14ac:dyDescent="0.3">
      <c r="A73" s="104" t="s">
        <v>466</v>
      </c>
      <c r="B73" s="16" t="s">
        <v>1</v>
      </c>
      <c r="C73" s="17" t="s">
        <v>141</v>
      </c>
      <c r="D73" s="18">
        <f t="shared" ref="D73:AK73" si="116">SUM(D74)</f>
        <v>27065011</v>
      </c>
      <c r="E73" s="18">
        <f t="shared" si="116"/>
        <v>26796700</v>
      </c>
      <c r="F73" s="18">
        <f t="shared" si="116"/>
        <v>26786941</v>
      </c>
      <c r="G73" s="18">
        <f t="shared" si="116"/>
        <v>22614648</v>
      </c>
      <c r="H73" s="18">
        <f t="shared" si="116"/>
        <v>1242172</v>
      </c>
      <c r="I73" s="18">
        <f t="shared" si="116"/>
        <v>1724457</v>
      </c>
      <c r="J73" s="18">
        <f t="shared" si="116"/>
        <v>0</v>
      </c>
      <c r="K73" s="18">
        <f t="shared" si="116"/>
        <v>466617</v>
      </c>
      <c r="L73" s="18">
        <f t="shared" si="116"/>
        <v>0</v>
      </c>
      <c r="M73" s="18">
        <f t="shared" si="116"/>
        <v>0</v>
      </c>
      <c r="N73" s="18">
        <f t="shared" si="116"/>
        <v>719197</v>
      </c>
      <c r="O73" s="18">
        <f t="shared" si="116"/>
        <v>538643</v>
      </c>
      <c r="P73" s="18">
        <f t="shared" si="116"/>
        <v>7776</v>
      </c>
      <c r="Q73" s="18">
        <f t="shared" si="116"/>
        <v>7776</v>
      </c>
      <c r="R73" s="18">
        <f t="shared" si="116"/>
        <v>0</v>
      </c>
      <c r="S73" s="18">
        <f t="shared" si="116"/>
        <v>0</v>
      </c>
      <c r="T73" s="18">
        <f t="shared" si="116"/>
        <v>119330</v>
      </c>
      <c r="U73" s="18">
        <f t="shared" si="116"/>
        <v>336252</v>
      </c>
      <c r="V73" s="18">
        <f t="shared" si="116"/>
        <v>118459</v>
      </c>
      <c r="W73" s="18">
        <f t="shared" si="116"/>
        <v>60363</v>
      </c>
      <c r="X73" s="18">
        <f t="shared" si="116"/>
        <v>100000</v>
      </c>
      <c r="Y73" s="18">
        <f t="shared" si="116"/>
        <v>24145</v>
      </c>
      <c r="Z73" s="18">
        <f t="shared" si="116"/>
        <v>10629</v>
      </c>
      <c r="AA73" s="18">
        <f t="shared" si="116"/>
        <v>34</v>
      </c>
      <c r="AB73" s="18">
        <f t="shared" si="116"/>
        <v>0</v>
      </c>
      <c r="AC73" s="18">
        <f t="shared" si="116"/>
        <v>22622</v>
      </c>
      <c r="AD73" s="18">
        <f t="shared" si="116"/>
        <v>0</v>
      </c>
      <c r="AE73" s="18">
        <f t="shared" si="116"/>
        <v>742306</v>
      </c>
      <c r="AF73" s="18">
        <f t="shared" si="116"/>
        <v>0</v>
      </c>
      <c r="AG73" s="18">
        <f t="shared" si="116"/>
        <v>0</v>
      </c>
      <c r="AH73" s="18">
        <f t="shared" si="116"/>
        <v>1960</v>
      </c>
      <c r="AI73" s="18">
        <f t="shared" si="116"/>
        <v>279744</v>
      </c>
      <c r="AJ73" s="18">
        <f t="shared" si="116"/>
        <v>0</v>
      </c>
      <c r="AK73" s="18">
        <f t="shared" si="116"/>
        <v>0</v>
      </c>
      <c r="AL73" s="18">
        <f t="shared" ref="AL73:CV73" si="117">SUM(AL74)</f>
        <v>0</v>
      </c>
      <c r="AM73" s="18">
        <f t="shared" si="117"/>
        <v>0</v>
      </c>
      <c r="AN73" s="18">
        <f t="shared" si="117"/>
        <v>60153</v>
      </c>
      <c r="AO73" s="18">
        <f t="shared" si="117"/>
        <v>18042</v>
      </c>
      <c r="AP73" s="18">
        <f t="shared" si="117"/>
        <v>0</v>
      </c>
      <c r="AQ73" s="18">
        <f t="shared" si="117"/>
        <v>0</v>
      </c>
      <c r="AR73" s="18">
        <f t="shared" si="117"/>
        <v>260549</v>
      </c>
      <c r="AS73" s="18">
        <f t="shared" si="117"/>
        <v>0</v>
      </c>
      <c r="AT73" s="18"/>
      <c r="AU73" s="18"/>
      <c r="AV73" s="18">
        <f t="shared" si="117"/>
        <v>0</v>
      </c>
      <c r="AW73" s="18">
        <f t="shared" si="117"/>
        <v>0</v>
      </c>
      <c r="AX73" s="18">
        <f t="shared" si="117"/>
        <v>0</v>
      </c>
      <c r="AY73" s="18"/>
      <c r="AZ73" s="18">
        <f t="shared" si="117"/>
        <v>121858</v>
      </c>
      <c r="BA73" s="18">
        <f t="shared" si="117"/>
        <v>9759</v>
      </c>
      <c r="BB73" s="18">
        <f t="shared" si="117"/>
        <v>0</v>
      </c>
      <c r="BC73" s="18">
        <f t="shared" si="117"/>
        <v>0</v>
      </c>
      <c r="BD73" s="18">
        <f t="shared" si="117"/>
        <v>0</v>
      </c>
      <c r="BE73" s="18">
        <f t="shared" si="117"/>
        <v>0</v>
      </c>
      <c r="BF73" s="18">
        <f t="shared" si="117"/>
        <v>0</v>
      </c>
      <c r="BG73" s="18">
        <f t="shared" si="117"/>
        <v>0</v>
      </c>
      <c r="BH73" s="18">
        <f t="shared" si="117"/>
        <v>0</v>
      </c>
      <c r="BI73" s="18">
        <f t="shared" si="117"/>
        <v>0</v>
      </c>
      <c r="BJ73" s="18">
        <f t="shared" si="117"/>
        <v>0</v>
      </c>
      <c r="BK73" s="18">
        <f t="shared" si="117"/>
        <v>0</v>
      </c>
      <c r="BL73" s="18">
        <f t="shared" si="117"/>
        <v>0</v>
      </c>
      <c r="BM73" s="18">
        <f t="shared" si="117"/>
        <v>0</v>
      </c>
      <c r="BN73" s="18">
        <f t="shared" si="117"/>
        <v>9759</v>
      </c>
      <c r="BO73" s="18">
        <f t="shared" si="117"/>
        <v>0</v>
      </c>
      <c r="BP73" s="18">
        <f t="shared" si="117"/>
        <v>0</v>
      </c>
      <c r="BQ73" s="18">
        <f t="shared" si="117"/>
        <v>0</v>
      </c>
      <c r="BR73" s="18">
        <f t="shared" si="117"/>
        <v>0</v>
      </c>
      <c r="BS73" s="18">
        <f t="shared" si="117"/>
        <v>0</v>
      </c>
      <c r="BT73" s="18">
        <f t="shared" si="117"/>
        <v>0</v>
      </c>
      <c r="BU73" s="18">
        <f t="shared" si="117"/>
        <v>0</v>
      </c>
      <c r="BV73" s="18">
        <f t="shared" si="117"/>
        <v>0</v>
      </c>
      <c r="BW73" s="18">
        <f t="shared" si="117"/>
        <v>0</v>
      </c>
      <c r="BX73" s="18">
        <f t="shared" si="117"/>
        <v>9759</v>
      </c>
      <c r="BY73" s="18">
        <f t="shared" si="117"/>
        <v>0</v>
      </c>
      <c r="BZ73" s="18">
        <f t="shared" si="117"/>
        <v>268311</v>
      </c>
      <c r="CA73" s="18">
        <f t="shared" si="117"/>
        <v>268311</v>
      </c>
      <c r="CB73" s="18">
        <f t="shared" si="117"/>
        <v>268311</v>
      </c>
      <c r="CC73" s="18">
        <f t="shared" si="117"/>
        <v>0</v>
      </c>
      <c r="CD73" s="18">
        <f t="shared" si="117"/>
        <v>268311</v>
      </c>
      <c r="CE73" s="18">
        <f t="shared" si="117"/>
        <v>0</v>
      </c>
      <c r="CF73" s="18">
        <f t="shared" si="117"/>
        <v>0</v>
      </c>
      <c r="CG73" s="18">
        <f t="shared" si="117"/>
        <v>0</v>
      </c>
      <c r="CH73" s="18">
        <f t="shared" si="117"/>
        <v>0</v>
      </c>
      <c r="CI73" s="18">
        <f t="shared" si="117"/>
        <v>0</v>
      </c>
      <c r="CJ73" s="18">
        <f t="shared" si="117"/>
        <v>0</v>
      </c>
      <c r="CK73" s="18">
        <f t="shared" si="117"/>
        <v>0</v>
      </c>
      <c r="CL73" s="18">
        <f t="shared" si="117"/>
        <v>0</v>
      </c>
      <c r="CM73" s="18">
        <f t="shared" si="117"/>
        <v>0</v>
      </c>
      <c r="CN73" s="18"/>
      <c r="CO73" s="18">
        <f t="shared" si="117"/>
        <v>0</v>
      </c>
      <c r="CP73" s="74"/>
      <c r="CQ73" s="74"/>
      <c r="CR73" s="74"/>
      <c r="CS73" s="18">
        <f t="shared" si="117"/>
        <v>0</v>
      </c>
      <c r="CT73" s="18">
        <f t="shared" si="117"/>
        <v>0</v>
      </c>
      <c r="CU73" s="18">
        <f t="shared" si="117"/>
        <v>0</v>
      </c>
      <c r="CV73" s="46">
        <f t="shared" si="117"/>
        <v>0</v>
      </c>
      <c r="CW73" s="57"/>
    </row>
    <row r="74" spans="1:101" ht="15.6" x14ac:dyDescent="0.3">
      <c r="A74" s="105" t="s">
        <v>1</v>
      </c>
      <c r="B74" s="21" t="s">
        <v>142</v>
      </c>
      <c r="C74" s="22" t="s">
        <v>143</v>
      </c>
      <c r="D74" s="19">
        <f>SUM(E74+BZ74+CS74)</f>
        <v>27065011</v>
      </c>
      <c r="E74" s="19">
        <f>SUM(F74+BA74)</f>
        <v>26796700</v>
      </c>
      <c r="F74" s="19">
        <f>SUM(G74+H74+I74+P74+S74+T74+U74+AE74+AD74)</f>
        <v>26786941</v>
      </c>
      <c r="G74" s="23">
        <v>22614648</v>
      </c>
      <c r="H74" s="23">
        <v>1242172</v>
      </c>
      <c r="I74" s="19">
        <f t="shared" si="110"/>
        <v>1724457</v>
      </c>
      <c r="J74" s="23">
        <v>0</v>
      </c>
      <c r="K74" s="23">
        <v>466617</v>
      </c>
      <c r="L74" s="23">
        <v>0</v>
      </c>
      <c r="M74" s="23">
        <v>0</v>
      </c>
      <c r="N74" s="23">
        <v>719197</v>
      </c>
      <c r="O74" s="23">
        <v>538643</v>
      </c>
      <c r="P74" s="19">
        <f t="shared" si="111"/>
        <v>7776</v>
      </c>
      <c r="Q74" s="23">
        <v>7776</v>
      </c>
      <c r="R74" s="23">
        <v>0</v>
      </c>
      <c r="S74" s="23">
        <v>0</v>
      </c>
      <c r="T74" s="23">
        <v>119330</v>
      </c>
      <c r="U74" s="19">
        <f>SUM(V74:AC74)</f>
        <v>336252</v>
      </c>
      <c r="V74" s="23">
        <v>118459</v>
      </c>
      <c r="W74" s="23">
        <v>60363</v>
      </c>
      <c r="X74" s="23">
        <v>100000</v>
      </c>
      <c r="Y74" s="23">
        <v>24145</v>
      </c>
      <c r="Z74" s="23">
        <v>10629</v>
      </c>
      <c r="AA74" s="23">
        <v>34</v>
      </c>
      <c r="AB74" s="23">
        <v>0</v>
      </c>
      <c r="AC74" s="23">
        <v>22622</v>
      </c>
      <c r="AD74" s="19">
        <v>0</v>
      </c>
      <c r="AE74" s="19">
        <f>SUM(AF74:AZ74)</f>
        <v>742306</v>
      </c>
      <c r="AF74" s="19">
        <v>0</v>
      </c>
      <c r="AG74" s="19">
        <v>0</v>
      </c>
      <c r="AH74" s="23">
        <v>1960</v>
      </c>
      <c r="AI74" s="23">
        <v>279744</v>
      </c>
      <c r="AJ74" s="23">
        <v>0</v>
      </c>
      <c r="AK74" s="23">
        <v>0</v>
      </c>
      <c r="AL74" s="23">
        <v>0</v>
      </c>
      <c r="AM74" s="23">
        <v>0</v>
      </c>
      <c r="AN74" s="23">
        <v>60153</v>
      </c>
      <c r="AO74" s="23">
        <v>18042</v>
      </c>
      <c r="AP74" s="23">
        <v>0</v>
      </c>
      <c r="AQ74" s="23">
        <v>0</v>
      </c>
      <c r="AR74" s="23">
        <v>260549</v>
      </c>
      <c r="AS74" s="23">
        <v>0</v>
      </c>
      <c r="AT74" s="23">
        <v>0</v>
      </c>
      <c r="AU74" s="23">
        <v>0</v>
      </c>
      <c r="AV74" s="23">
        <v>0</v>
      </c>
      <c r="AW74" s="23">
        <v>0</v>
      </c>
      <c r="AX74" s="23">
        <v>0</v>
      </c>
      <c r="AY74" s="23">
        <v>0</v>
      </c>
      <c r="AZ74" s="23">
        <v>121858</v>
      </c>
      <c r="BA74" s="19">
        <f>SUM(BB74+BF74+BI74+BK74+BN74)</f>
        <v>9759</v>
      </c>
      <c r="BB74" s="19">
        <f>SUM(BC74:BE74)</f>
        <v>0</v>
      </c>
      <c r="BC74" s="19">
        <v>0</v>
      </c>
      <c r="BD74" s="19">
        <v>0</v>
      </c>
      <c r="BE74" s="19">
        <v>0</v>
      </c>
      <c r="BF74" s="19">
        <f>SUM(BH74:BH74)</f>
        <v>0</v>
      </c>
      <c r="BG74" s="19">
        <v>0</v>
      </c>
      <c r="BH74" s="19">
        <v>0</v>
      </c>
      <c r="BI74" s="19">
        <v>0</v>
      </c>
      <c r="BJ74" s="19">
        <v>0</v>
      </c>
      <c r="BK74" s="19">
        <f t="shared" si="112"/>
        <v>0</v>
      </c>
      <c r="BL74" s="19">
        <v>0</v>
      </c>
      <c r="BM74" s="19">
        <v>0</v>
      </c>
      <c r="BN74" s="19">
        <f>SUM(BO74:BY74)</f>
        <v>9759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9759</v>
      </c>
      <c r="BY74" s="19">
        <v>0</v>
      </c>
      <c r="BZ74" s="19">
        <f>SUM(CA74+CO74)</f>
        <v>268311</v>
      </c>
      <c r="CA74" s="19">
        <f>SUM(CB74+CE74+CK74)</f>
        <v>268311</v>
      </c>
      <c r="CB74" s="19">
        <f t="shared" si="113"/>
        <v>268311</v>
      </c>
      <c r="CC74" s="19">
        <v>0</v>
      </c>
      <c r="CD74" s="23">
        <v>268311</v>
      </c>
      <c r="CE74" s="19">
        <f>SUM(CF74:CJ74)</f>
        <v>0</v>
      </c>
      <c r="CF74" s="19">
        <v>0</v>
      </c>
      <c r="CG74" s="19">
        <v>0</v>
      </c>
      <c r="CH74" s="23"/>
      <c r="CI74" s="23"/>
      <c r="CJ74" s="23"/>
      <c r="CK74" s="19">
        <f>SUM(CL74:CN74)</f>
        <v>0</v>
      </c>
      <c r="CL74" s="19"/>
      <c r="CM74" s="23"/>
      <c r="CN74" s="19"/>
      <c r="CO74" s="19">
        <v>0</v>
      </c>
      <c r="CP74" s="75"/>
      <c r="CQ74" s="75"/>
      <c r="CR74" s="75"/>
      <c r="CS74" s="19">
        <f t="shared" si="114"/>
        <v>0</v>
      </c>
      <c r="CT74" s="19">
        <f t="shared" si="115"/>
        <v>0</v>
      </c>
      <c r="CU74" s="19">
        <v>0</v>
      </c>
      <c r="CV74" s="20">
        <v>0</v>
      </c>
      <c r="CW74" s="52"/>
    </row>
    <row r="75" spans="1:101" s="58" customFormat="1" ht="15.6" x14ac:dyDescent="0.3">
      <c r="A75" s="104" t="s">
        <v>144</v>
      </c>
      <c r="B75" s="16" t="s">
        <v>1</v>
      </c>
      <c r="C75" s="17" t="s">
        <v>145</v>
      </c>
      <c r="D75" s="18">
        <f t="shared" ref="D75:AK77" si="118">SUM(D76)</f>
        <v>9347820</v>
      </c>
      <c r="E75" s="18">
        <f t="shared" si="118"/>
        <v>9174918</v>
      </c>
      <c r="F75" s="18">
        <f t="shared" si="118"/>
        <v>9168400</v>
      </c>
      <c r="G75" s="18">
        <f t="shared" si="118"/>
        <v>6927367</v>
      </c>
      <c r="H75" s="18">
        <f t="shared" si="118"/>
        <v>1570272</v>
      </c>
      <c r="I75" s="18">
        <f t="shared" si="118"/>
        <v>291320</v>
      </c>
      <c r="J75" s="18">
        <f t="shared" si="118"/>
        <v>0</v>
      </c>
      <c r="K75" s="18">
        <f t="shared" si="118"/>
        <v>0</v>
      </c>
      <c r="L75" s="18">
        <f t="shared" si="118"/>
        <v>0</v>
      </c>
      <c r="M75" s="18">
        <f t="shared" si="118"/>
        <v>0</v>
      </c>
      <c r="N75" s="18">
        <f>N76</f>
        <v>242493</v>
      </c>
      <c r="O75" s="18">
        <f>O76</f>
        <v>48827</v>
      </c>
      <c r="P75" s="18">
        <f t="shared" si="118"/>
        <v>0</v>
      </c>
      <c r="Q75" s="18">
        <f t="shared" si="118"/>
        <v>0</v>
      </c>
      <c r="R75" s="18">
        <f t="shared" si="118"/>
        <v>0</v>
      </c>
      <c r="S75" s="18">
        <f t="shared" si="118"/>
        <v>0</v>
      </c>
      <c r="T75" s="18">
        <f t="shared" si="118"/>
        <v>93921</v>
      </c>
      <c r="U75" s="18">
        <f t="shared" si="118"/>
        <v>155123</v>
      </c>
      <c r="V75" s="18">
        <f t="shared" si="118"/>
        <v>0</v>
      </c>
      <c r="W75" s="18">
        <f t="shared" si="118"/>
        <v>100630</v>
      </c>
      <c r="X75" s="18">
        <f t="shared" si="118"/>
        <v>42318</v>
      </c>
      <c r="Y75" s="18">
        <f t="shared" si="118"/>
        <v>7736</v>
      </c>
      <c r="Z75" s="18">
        <f t="shared" si="118"/>
        <v>4439</v>
      </c>
      <c r="AA75" s="18">
        <f t="shared" si="118"/>
        <v>0</v>
      </c>
      <c r="AB75" s="18">
        <f t="shared" si="118"/>
        <v>0</v>
      </c>
      <c r="AC75" s="18">
        <f t="shared" si="118"/>
        <v>0</v>
      </c>
      <c r="AD75" s="18">
        <f t="shared" si="118"/>
        <v>0</v>
      </c>
      <c r="AE75" s="18">
        <f t="shared" si="118"/>
        <v>130397</v>
      </c>
      <c r="AF75" s="18">
        <f t="shared" si="118"/>
        <v>0</v>
      </c>
      <c r="AG75" s="18">
        <f t="shared" si="118"/>
        <v>0</v>
      </c>
      <c r="AH75" s="18">
        <f t="shared" si="118"/>
        <v>8998</v>
      </c>
      <c r="AI75" s="18">
        <f t="shared" si="118"/>
        <v>87657</v>
      </c>
      <c r="AJ75" s="18">
        <f t="shared" si="118"/>
        <v>0</v>
      </c>
      <c r="AK75" s="18">
        <f t="shared" si="118"/>
        <v>0</v>
      </c>
      <c r="AL75" s="18">
        <f t="shared" ref="AL75:CU77" si="119">SUM(AL76)</f>
        <v>0</v>
      </c>
      <c r="AM75" s="18">
        <f t="shared" si="119"/>
        <v>0</v>
      </c>
      <c r="AN75" s="18">
        <f t="shared" si="119"/>
        <v>0</v>
      </c>
      <c r="AO75" s="18">
        <f t="shared" si="119"/>
        <v>15627</v>
      </c>
      <c r="AP75" s="18">
        <f t="shared" si="119"/>
        <v>0</v>
      </c>
      <c r="AQ75" s="18">
        <f t="shared" si="119"/>
        <v>0</v>
      </c>
      <c r="AR75" s="18">
        <f t="shared" si="119"/>
        <v>18115</v>
      </c>
      <c r="AS75" s="18">
        <f t="shared" si="119"/>
        <v>0</v>
      </c>
      <c r="AT75" s="18"/>
      <c r="AU75" s="18"/>
      <c r="AV75" s="18">
        <f t="shared" si="119"/>
        <v>0</v>
      </c>
      <c r="AW75" s="18">
        <f t="shared" si="119"/>
        <v>0</v>
      </c>
      <c r="AX75" s="18">
        <f t="shared" si="119"/>
        <v>0</v>
      </c>
      <c r="AY75" s="18"/>
      <c r="AZ75" s="18">
        <f t="shared" si="119"/>
        <v>0</v>
      </c>
      <c r="BA75" s="18">
        <f t="shared" si="119"/>
        <v>6518</v>
      </c>
      <c r="BB75" s="18">
        <f t="shared" si="119"/>
        <v>0</v>
      </c>
      <c r="BC75" s="18">
        <f t="shared" si="119"/>
        <v>0</v>
      </c>
      <c r="BD75" s="18">
        <f t="shared" si="119"/>
        <v>0</v>
      </c>
      <c r="BE75" s="18">
        <f t="shared" si="119"/>
        <v>0</v>
      </c>
      <c r="BF75" s="18">
        <f t="shared" si="119"/>
        <v>0</v>
      </c>
      <c r="BG75" s="18">
        <f t="shared" si="119"/>
        <v>0</v>
      </c>
      <c r="BH75" s="18">
        <f t="shared" si="119"/>
        <v>0</v>
      </c>
      <c r="BI75" s="18">
        <f t="shared" si="119"/>
        <v>0</v>
      </c>
      <c r="BJ75" s="18">
        <f t="shared" si="119"/>
        <v>0</v>
      </c>
      <c r="BK75" s="18">
        <f t="shared" si="119"/>
        <v>0</v>
      </c>
      <c r="BL75" s="18">
        <f t="shared" si="119"/>
        <v>0</v>
      </c>
      <c r="BM75" s="18">
        <f t="shared" si="119"/>
        <v>0</v>
      </c>
      <c r="BN75" s="18">
        <f t="shared" si="119"/>
        <v>6518</v>
      </c>
      <c r="BO75" s="18">
        <f t="shared" si="119"/>
        <v>0</v>
      </c>
      <c r="BP75" s="18">
        <f t="shared" si="119"/>
        <v>0</v>
      </c>
      <c r="BQ75" s="18">
        <f t="shared" si="119"/>
        <v>0</v>
      </c>
      <c r="BR75" s="18">
        <f t="shared" si="119"/>
        <v>0</v>
      </c>
      <c r="BS75" s="18">
        <f t="shared" si="119"/>
        <v>0</v>
      </c>
      <c r="BT75" s="18">
        <f t="shared" si="119"/>
        <v>0</v>
      </c>
      <c r="BU75" s="18">
        <f t="shared" si="119"/>
        <v>0</v>
      </c>
      <c r="BV75" s="18">
        <f t="shared" si="119"/>
        <v>0</v>
      </c>
      <c r="BW75" s="18">
        <f t="shared" si="119"/>
        <v>0</v>
      </c>
      <c r="BX75" s="18">
        <f t="shared" si="119"/>
        <v>6518</v>
      </c>
      <c r="BY75" s="18">
        <f t="shared" si="119"/>
        <v>0</v>
      </c>
      <c r="BZ75" s="18">
        <f t="shared" si="119"/>
        <v>172902</v>
      </c>
      <c r="CA75" s="18">
        <f t="shared" si="119"/>
        <v>172902</v>
      </c>
      <c r="CB75" s="18">
        <f t="shared" si="119"/>
        <v>172902</v>
      </c>
      <c r="CC75" s="18">
        <f t="shared" si="119"/>
        <v>0</v>
      </c>
      <c r="CD75" s="18">
        <f t="shared" si="119"/>
        <v>172902</v>
      </c>
      <c r="CE75" s="18">
        <f t="shared" si="119"/>
        <v>0</v>
      </c>
      <c r="CF75" s="18">
        <f t="shared" si="119"/>
        <v>0</v>
      </c>
      <c r="CG75" s="18">
        <f t="shared" si="119"/>
        <v>0</v>
      </c>
      <c r="CH75" s="18">
        <f t="shared" si="119"/>
        <v>0</v>
      </c>
      <c r="CI75" s="18">
        <f t="shared" si="119"/>
        <v>0</v>
      </c>
      <c r="CJ75" s="18">
        <f t="shared" si="119"/>
        <v>0</v>
      </c>
      <c r="CK75" s="18">
        <f t="shared" si="119"/>
        <v>0</v>
      </c>
      <c r="CL75" s="18">
        <f t="shared" si="119"/>
        <v>0</v>
      </c>
      <c r="CM75" s="18">
        <f t="shared" si="119"/>
        <v>0</v>
      </c>
      <c r="CN75" s="18"/>
      <c r="CO75" s="18">
        <f t="shared" si="119"/>
        <v>0</v>
      </c>
      <c r="CP75" s="74"/>
      <c r="CQ75" s="74"/>
      <c r="CR75" s="74"/>
      <c r="CS75" s="18">
        <f t="shared" si="119"/>
        <v>0</v>
      </c>
      <c r="CT75" s="18">
        <f t="shared" si="119"/>
        <v>0</v>
      </c>
      <c r="CU75" s="18">
        <f t="shared" si="119"/>
        <v>0</v>
      </c>
      <c r="CV75" s="46">
        <f t="shared" ref="CV75:CV77" si="120">SUM(CV76)</f>
        <v>0</v>
      </c>
      <c r="CW75" s="57"/>
    </row>
    <row r="76" spans="1:101" ht="15.6" x14ac:dyDescent="0.3">
      <c r="A76" s="105" t="s">
        <v>1</v>
      </c>
      <c r="B76" s="21" t="s">
        <v>146</v>
      </c>
      <c r="C76" s="22" t="s">
        <v>147</v>
      </c>
      <c r="D76" s="19">
        <f>SUM(E76+BZ76+CS76)</f>
        <v>9347820</v>
      </c>
      <c r="E76" s="19">
        <f>SUM(F76+BA76)</f>
        <v>9174918</v>
      </c>
      <c r="F76" s="19">
        <f>SUM(G76+H76+I76+P76+S76+T76+U76+AE76+AD76)</f>
        <v>9168400</v>
      </c>
      <c r="G76" s="23">
        <v>6927367</v>
      </c>
      <c r="H76" s="23">
        <v>1570272</v>
      </c>
      <c r="I76" s="19">
        <f t="shared" si="110"/>
        <v>291320</v>
      </c>
      <c r="J76" s="19">
        <v>0</v>
      </c>
      <c r="K76" s="19"/>
      <c r="L76" s="19"/>
      <c r="M76" s="19"/>
      <c r="N76" s="23">
        <v>242493</v>
      </c>
      <c r="O76" s="23">
        <v>48827</v>
      </c>
      <c r="P76" s="19">
        <f t="shared" si="111"/>
        <v>0</v>
      </c>
      <c r="Q76" s="19">
        <v>0</v>
      </c>
      <c r="R76" s="19">
        <v>0</v>
      </c>
      <c r="S76" s="19">
        <v>0</v>
      </c>
      <c r="T76" s="23">
        <v>93921</v>
      </c>
      <c r="U76" s="19">
        <f>SUM(V76:AC76)</f>
        <v>155123</v>
      </c>
      <c r="V76" s="23">
        <v>0</v>
      </c>
      <c r="W76" s="23">
        <v>100630</v>
      </c>
      <c r="X76" s="23">
        <v>42318</v>
      </c>
      <c r="Y76" s="23">
        <v>7736</v>
      </c>
      <c r="Z76" s="23">
        <v>4439</v>
      </c>
      <c r="AA76" s="23">
        <v>0</v>
      </c>
      <c r="AB76" s="23">
        <v>0</v>
      </c>
      <c r="AC76" s="23">
        <v>0</v>
      </c>
      <c r="AD76" s="19">
        <v>0</v>
      </c>
      <c r="AE76" s="19">
        <f>SUM(AF76:AZ76)</f>
        <v>130397</v>
      </c>
      <c r="AF76" s="19">
        <v>0</v>
      </c>
      <c r="AG76" s="19">
        <v>0</v>
      </c>
      <c r="AH76" s="23">
        <v>8998</v>
      </c>
      <c r="AI76" s="23">
        <v>87657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15627</v>
      </c>
      <c r="AP76" s="23">
        <v>0</v>
      </c>
      <c r="AQ76" s="23">
        <v>0</v>
      </c>
      <c r="AR76" s="23">
        <v>18115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0</v>
      </c>
      <c r="AY76" s="23">
        <v>0</v>
      </c>
      <c r="AZ76" s="23">
        <v>0</v>
      </c>
      <c r="BA76" s="19">
        <f>SUM(BB76+BF76+BI76+BK76+BN76)</f>
        <v>6518</v>
      </c>
      <c r="BB76" s="19">
        <f>SUM(BC76:BE76)</f>
        <v>0</v>
      </c>
      <c r="BC76" s="19">
        <v>0</v>
      </c>
      <c r="BD76" s="19">
        <v>0</v>
      </c>
      <c r="BE76" s="19">
        <v>0</v>
      </c>
      <c r="BF76" s="19">
        <f>SUM(BH76:BH76)</f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f t="shared" si="112"/>
        <v>0</v>
      </c>
      <c r="BL76" s="19">
        <v>0</v>
      </c>
      <c r="BM76" s="19">
        <v>0</v>
      </c>
      <c r="BN76" s="19">
        <f>SUM(BO76:BY76)</f>
        <v>6518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>
        <v>6518</v>
      </c>
      <c r="BY76" s="19">
        <v>0</v>
      </c>
      <c r="BZ76" s="19">
        <f>SUM(CA76+CO76)</f>
        <v>172902</v>
      </c>
      <c r="CA76" s="19">
        <f>SUM(CB76+CE76+CK76)</f>
        <v>172902</v>
      </c>
      <c r="CB76" s="19">
        <f t="shared" si="113"/>
        <v>172902</v>
      </c>
      <c r="CC76" s="19">
        <v>0</v>
      </c>
      <c r="CD76" s="23">
        <v>172902</v>
      </c>
      <c r="CE76" s="19">
        <f>SUM(CF76:CJ76)</f>
        <v>0</v>
      </c>
      <c r="CF76" s="19">
        <v>0</v>
      </c>
      <c r="CG76" s="19">
        <v>0</v>
      </c>
      <c r="CH76" s="19">
        <v>0</v>
      </c>
      <c r="CI76" s="19">
        <v>0</v>
      </c>
      <c r="CJ76" s="19">
        <v>0</v>
      </c>
      <c r="CK76" s="19">
        <f>SUM(CL76:CN76)</f>
        <v>0</v>
      </c>
      <c r="CL76" s="19">
        <v>0</v>
      </c>
      <c r="CM76" s="19">
        <v>0</v>
      </c>
      <c r="CN76" s="19"/>
      <c r="CO76" s="19">
        <v>0</v>
      </c>
      <c r="CP76" s="75"/>
      <c r="CQ76" s="75"/>
      <c r="CR76" s="75"/>
      <c r="CS76" s="19">
        <f t="shared" si="114"/>
        <v>0</v>
      </c>
      <c r="CT76" s="19">
        <f t="shared" si="115"/>
        <v>0</v>
      </c>
      <c r="CU76" s="19">
        <v>0</v>
      </c>
      <c r="CV76" s="20">
        <v>0</v>
      </c>
      <c r="CW76" s="52"/>
    </row>
    <row r="77" spans="1:101" s="58" customFormat="1" ht="15.6" x14ac:dyDescent="0.3">
      <c r="A77" s="104" t="s">
        <v>148</v>
      </c>
      <c r="B77" s="16" t="s">
        <v>1</v>
      </c>
      <c r="C77" s="30" t="s">
        <v>328</v>
      </c>
      <c r="D77" s="18">
        <f t="shared" si="118"/>
        <v>66910834</v>
      </c>
      <c r="E77" s="18">
        <f t="shared" si="118"/>
        <v>66179759</v>
      </c>
      <c r="F77" s="18">
        <f t="shared" si="118"/>
        <v>64927943</v>
      </c>
      <c r="G77" s="18">
        <f t="shared" si="118"/>
        <v>35749463</v>
      </c>
      <c r="H77" s="18">
        <f t="shared" si="118"/>
        <v>339850</v>
      </c>
      <c r="I77" s="18">
        <f t="shared" si="118"/>
        <v>5953173</v>
      </c>
      <c r="J77" s="18">
        <f t="shared" si="118"/>
        <v>128138</v>
      </c>
      <c r="K77" s="18">
        <f t="shared" si="118"/>
        <v>1813000</v>
      </c>
      <c r="L77" s="18">
        <f t="shared" si="118"/>
        <v>0</v>
      </c>
      <c r="M77" s="18">
        <f t="shared" si="118"/>
        <v>25000</v>
      </c>
      <c r="N77" s="18">
        <f t="shared" si="118"/>
        <v>3100060</v>
      </c>
      <c r="O77" s="18">
        <f t="shared" si="118"/>
        <v>886975</v>
      </c>
      <c r="P77" s="18">
        <f t="shared" si="118"/>
        <v>43390</v>
      </c>
      <c r="Q77" s="18">
        <f t="shared" si="118"/>
        <v>43390</v>
      </c>
      <c r="R77" s="18">
        <f t="shared" si="118"/>
        <v>0</v>
      </c>
      <c r="S77" s="18">
        <f t="shared" si="118"/>
        <v>20000</v>
      </c>
      <c r="T77" s="18">
        <f t="shared" si="118"/>
        <v>415834</v>
      </c>
      <c r="U77" s="18">
        <f t="shared" si="118"/>
        <v>1082889</v>
      </c>
      <c r="V77" s="18">
        <f t="shared" si="118"/>
        <v>159903</v>
      </c>
      <c r="W77" s="18">
        <f t="shared" si="118"/>
        <v>3000</v>
      </c>
      <c r="X77" s="18">
        <f t="shared" si="118"/>
        <v>708440</v>
      </c>
      <c r="Y77" s="18">
        <f t="shared" si="118"/>
        <v>51885</v>
      </c>
      <c r="Z77" s="18">
        <f t="shared" si="118"/>
        <v>88900</v>
      </c>
      <c r="AA77" s="18">
        <f t="shared" si="118"/>
        <v>18000</v>
      </c>
      <c r="AB77" s="18">
        <f t="shared" si="118"/>
        <v>0</v>
      </c>
      <c r="AC77" s="18">
        <f t="shared" si="118"/>
        <v>52761</v>
      </c>
      <c r="AD77" s="18">
        <f t="shared" si="118"/>
        <v>0</v>
      </c>
      <c r="AE77" s="18">
        <f t="shared" si="118"/>
        <v>21323344</v>
      </c>
      <c r="AF77" s="18">
        <f t="shared" si="118"/>
        <v>0</v>
      </c>
      <c r="AG77" s="18">
        <f t="shared" si="118"/>
        <v>0</v>
      </c>
      <c r="AH77" s="18">
        <f t="shared" si="118"/>
        <v>47631</v>
      </c>
      <c r="AI77" s="18">
        <f t="shared" si="118"/>
        <v>81892</v>
      </c>
      <c r="AJ77" s="18">
        <f t="shared" si="118"/>
        <v>0</v>
      </c>
      <c r="AK77" s="18">
        <f t="shared" si="118"/>
        <v>1897</v>
      </c>
      <c r="AL77" s="18">
        <f t="shared" si="119"/>
        <v>0</v>
      </c>
      <c r="AM77" s="18">
        <f t="shared" si="119"/>
        <v>6380</v>
      </c>
      <c r="AN77" s="18">
        <f t="shared" si="119"/>
        <v>9000</v>
      </c>
      <c r="AO77" s="18">
        <f t="shared" si="119"/>
        <v>13386</v>
      </c>
      <c r="AP77" s="18">
        <f t="shared" si="119"/>
        <v>0</v>
      </c>
      <c r="AQ77" s="18">
        <f t="shared" si="119"/>
        <v>0</v>
      </c>
      <c r="AR77" s="18">
        <f t="shared" si="119"/>
        <v>0</v>
      </c>
      <c r="AS77" s="18">
        <f t="shared" si="119"/>
        <v>100000</v>
      </c>
      <c r="AT77" s="18"/>
      <c r="AU77" s="18"/>
      <c r="AV77" s="18">
        <f t="shared" si="119"/>
        <v>0</v>
      </c>
      <c r="AW77" s="18">
        <f t="shared" si="119"/>
        <v>19287313</v>
      </c>
      <c r="AX77" s="18">
        <f t="shared" si="119"/>
        <v>349120</v>
      </c>
      <c r="AY77" s="18">
        <f t="shared" si="119"/>
        <v>1057100</v>
      </c>
      <c r="AZ77" s="18">
        <f t="shared" si="119"/>
        <v>369625</v>
      </c>
      <c r="BA77" s="18">
        <f t="shared" si="119"/>
        <v>1251816</v>
      </c>
      <c r="BB77" s="18">
        <f t="shared" si="119"/>
        <v>0</v>
      </c>
      <c r="BC77" s="18">
        <f t="shared" si="119"/>
        <v>0</v>
      </c>
      <c r="BD77" s="18">
        <f t="shared" si="119"/>
        <v>0</v>
      </c>
      <c r="BE77" s="18">
        <f t="shared" si="119"/>
        <v>0</v>
      </c>
      <c r="BF77" s="18">
        <f t="shared" si="119"/>
        <v>0</v>
      </c>
      <c r="BG77" s="18">
        <f t="shared" si="119"/>
        <v>0</v>
      </c>
      <c r="BH77" s="18">
        <f t="shared" si="119"/>
        <v>0</v>
      </c>
      <c r="BI77" s="18">
        <f t="shared" si="119"/>
        <v>0</v>
      </c>
      <c r="BJ77" s="18">
        <f t="shared" si="119"/>
        <v>0</v>
      </c>
      <c r="BK77" s="18">
        <f t="shared" si="119"/>
        <v>252816</v>
      </c>
      <c r="BL77" s="18">
        <f t="shared" si="119"/>
        <v>252816</v>
      </c>
      <c r="BM77" s="18">
        <f t="shared" si="119"/>
        <v>0</v>
      </c>
      <c r="BN77" s="18">
        <f t="shared" si="119"/>
        <v>999000</v>
      </c>
      <c r="BO77" s="18">
        <f t="shared" si="119"/>
        <v>0</v>
      </c>
      <c r="BP77" s="18">
        <f t="shared" si="119"/>
        <v>0</v>
      </c>
      <c r="BQ77" s="18">
        <f t="shared" si="119"/>
        <v>0</v>
      </c>
      <c r="BR77" s="18">
        <f t="shared" si="119"/>
        <v>0</v>
      </c>
      <c r="BS77" s="18">
        <f t="shared" si="119"/>
        <v>0</v>
      </c>
      <c r="BT77" s="18">
        <f t="shared" si="119"/>
        <v>0</v>
      </c>
      <c r="BU77" s="18">
        <f t="shared" si="119"/>
        <v>0</v>
      </c>
      <c r="BV77" s="18">
        <f t="shared" si="119"/>
        <v>0</v>
      </c>
      <c r="BW77" s="18">
        <f t="shared" si="119"/>
        <v>0</v>
      </c>
      <c r="BX77" s="18">
        <f t="shared" si="119"/>
        <v>999000</v>
      </c>
      <c r="BY77" s="18">
        <f t="shared" si="119"/>
        <v>0</v>
      </c>
      <c r="BZ77" s="18">
        <f t="shared" si="119"/>
        <v>731075</v>
      </c>
      <c r="CA77" s="18">
        <f t="shared" si="119"/>
        <v>731075</v>
      </c>
      <c r="CB77" s="18">
        <f t="shared" si="119"/>
        <v>731075</v>
      </c>
      <c r="CC77" s="18">
        <f t="shared" si="119"/>
        <v>0</v>
      </c>
      <c r="CD77" s="18">
        <f t="shared" si="119"/>
        <v>731075</v>
      </c>
      <c r="CE77" s="18">
        <f t="shared" si="119"/>
        <v>0</v>
      </c>
      <c r="CF77" s="18">
        <f t="shared" si="119"/>
        <v>0</v>
      </c>
      <c r="CG77" s="18">
        <f t="shared" si="119"/>
        <v>0</v>
      </c>
      <c r="CH77" s="18">
        <f t="shared" si="119"/>
        <v>0</v>
      </c>
      <c r="CI77" s="18">
        <f t="shared" si="119"/>
        <v>0</v>
      </c>
      <c r="CJ77" s="18">
        <f t="shared" si="119"/>
        <v>0</v>
      </c>
      <c r="CK77" s="18">
        <f t="shared" si="119"/>
        <v>0</v>
      </c>
      <c r="CL77" s="18">
        <f t="shared" si="119"/>
        <v>0</v>
      </c>
      <c r="CM77" s="18">
        <f t="shared" si="119"/>
        <v>0</v>
      </c>
      <c r="CN77" s="18"/>
      <c r="CO77" s="18">
        <f t="shared" si="119"/>
        <v>0</v>
      </c>
      <c r="CP77" s="74"/>
      <c r="CQ77" s="74"/>
      <c r="CR77" s="74"/>
      <c r="CS77" s="18">
        <f t="shared" si="119"/>
        <v>0</v>
      </c>
      <c r="CT77" s="18">
        <f t="shared" si="119"/>
        <v>0</v>
      </c>
      <c r="CU77" s="18">
        <f t="shared" si="119"/>
        <v>0</v>
      </c>
      <c r="CV77" s="46">
        <f t="shared" si="120"/>
        <v>0</v>
      </c>
      <c r="CW77" s="57"/>
    </row>
    <row r="78" spans="1:101" ht="17.399999999999999" customHeight="1" x14ac:dyDescent="0.3">
      <c r="A78" s="105" t="s">
        <v>1</v>
      </c>
      <c r="B78" s="21" t="s">
        <v>149</v>
      </c>
      <c r="C78" s="31" t="s">
        <v>150</v>
      </c>
      <c r="D78" s="19">
        <f>SUM(E78+BZ78+CS78)</f>
        <v>66910834</v>
      </c>
      <c r="E78" s="19">
        <f>SUM(F78+BA78)</f>
        <v>66179759</v>
      </c>
      <c r="F78" s="19">
        <f>SUM(G78+H78+I78+P78+S78+T78+U78+AE78+AD78)</f>
        <v>64927943</v>
      </c>
      <c r="G78" s="23">
        <v>35749463</v>
      </c>
      <c r="H78" s="23">
        <v>339850</v>
      </c>
      <c r="I78" s="19">
        <f t="shared" ref="I78" si="121">SUM(J78:O78)</f>
        <v>5953173</v>
      </c>
      <c r="J78" s="23">
        <v>128138</v>
      </c>
      <c r="K78" s="23">
        <v>1813000</v>
      </c>
      <c r="L78" s="23">
        <v>0</v>
      </c>
      <c r="M78" s="23">
        <v>25000</v>
      </c>
      <c r="N78" s="23">
        <v>3100060</v>
      </c>
      <c r="O78" s="23">
        <v>886975</v>
      </c>
      <c r="P78" s="19">
        <f t="shared" ref="P78" si="122">SUM(Q78:R78)</f>
        <v>43390</v>
      </c>
      <c r="Q78" s="23">
        <v>43390</v>
      </c>
      <c r="R78" s="23">
        <v>0</v>
      </c>
      <c r="S78" s="23">
        <v>20000</v>
      </c>
      <c r="T78" s="23">
        <v>415834</v>
      </c>
      <c r="U78" s="19">
        <f>SUM(V78:AC78)</f>
        <v>1082889</v>
      </c>
      <c r="V78" s="23">
        <v>159903</v>
      </c>
      <c r="W78" s="23">
        <v>3000</v>
      </c>
      <c r="X78" s="23">
        <v>708440</v>
      </c>
      <c r="Y78" s="23">
        <v>51885</v>
      </c>
      <c r="Z78" s="23">
        <v>88900</v>
      </c>
      <c r="AA78" s="23">
        <v>18000</v>
      </c>
      <c r="AB78" s="23">
        <v>0</v>
      </c>
      <c r="AC78" s="23">
        <v>52761</v>
      </c>
      <c r="AD78" s="19">
        <v>0</v>
      </c>
      <c r="AE78" s="19">
        <f>SUM(AF78:AZ78)</f>
        <v>21323344</v>
      </c>
      <c r="AF78" s="19">
        <v>0</v>
      </c>
      <c r="AG78" s="19">
        <v>0</v>
      </c>
      <c r="AH78" s="23">
        <v>47631</v>
      </c>
      <c r="AI78" s="23">
        <v>81892</v>
      </c>
      <c r="AJ78" s="23">
        <v>0</v>
      </c>
      <c r="AK78" s="23">
        <v>1897</v>
      </c>
      <c r="AL78" s="23">
        <v>0</v>
      </c>
      <c r="AM78" s="23">
        <v>6380</v>
      </c>
      <c r="AN78" s="23">
        <v>9000</v>
      </c>
      <c r="AO78" s="23">
        <v>13386</v>
      </c>
      <c r="AP78" s="23">
        <v>0</v>
      </c>
      <c r="AQ78" s="23">
        <v>0</v>
      </c>
      <c r="AR78" s="23">
        <v>0</v>
      </c>
      <c r="AS78" s="23">
        <v>100000</v>
      </c>
      <c r="AT78" s="23">
        <v>0</v>
      </c>
      <c r="AU78" s="23">
        <v>0</v>
      </c>
      <c r="AV78" s="23">
        <v>0</v>
      </c>
      <c r="AW78" s="23">
        <v>19287313</v>
      </c>
      <c r="AX78" s="23">
        <v>349120</v>
      </c>
      <c r="AY78" s="23">
        <v>1057100</v>
      </c>
      <c r="AZ78" s="23">
        <v>369625</v>
      </c>
      <c r="BA78" s="19">
        <f>SUM(BB78+BF78+BI78+BK78+BN78)</f>
        <v>1251816</v>
      </c>
      <c r="BB78" s="19">
        <f>SUM(BC78:BE78)</f>
        <v>0</v>
      </c>
      <c r="BC78" s="19">
        <v>0</v>
      </c>
      <c r="BD78" s="19">
        <v>0</v>
      </c>
      <c r="BE78" s="19">
        <v>0</v>
      </c>
      <c r="BF78" s="19">
        <f>SUM(BH78:BH78)</f>
        <v>0</v>
      </c>
      <c r="BG78" s="19">
        <v>0</v>
      </c>
      <c r="BH78" s="19">
        <v>0</v>
      </c>
      <c r="BI78" s="19">
        <v>0</v>
      </c>
      <c r="BJ78" s="23"/>
      <c r="BK78" s="19">
        <f t="shared" ref="BK78" si="123">SUM(BL78)</f>
        <v>252816</v>
      </c>
      <c r="BL78" s="23">
        <v>252816</v>
      </c>
      <c r="BM78" s="19">
        <v>0</v>
      </c>
      <c r="BN78" s="19">
        <f>SUM(BO78:BY78)</f>
        <v>999000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23">
        <v>999000</v>
      </c>
      <c r="BY78" s="19">
        <v>0</v>
      </c>
      <c r="BZ78" s="19">
        <f>SUM(CA78+CO78)</f>
        <v>731075</v>
      </c>
      <c r="CA78" s="19">
        <f>SUM(CB78+CE78+CK78)</f>
        <v>731075</v>
      </c>
      <c r="CB78" s="19">
        <f t="shared" ref="CB78" si="124">SUM(CC78:CD78)</f>
        <v>731075</v>
      </c>
      <c r="CC78" s="19">
        <v>0</v>
      </c>
      <c r="CD78" s="23">
        <v>731075</v>
      </c>
      <c r="CE78" s="19">
        <f>SUM(CF78:CJ78)</f>
        <v>0</v>
      </c>
      <c r="CF78" s="19">
        <v>0</v>
      </c>
      <c r="CG78" s="19">
        <v>0</v>
      </c>
      <c r="CH78" s="23"/>
      <c r="CI78" s="23"/>
      <c r="CJ78" s="23"/>
      <c r="CK78" s="19">
        <f>SUM(CL78:CN78)</f>
        <v>0</v>
      </c>
      <c r="CL78" s="24"/>
      <c r="CM78" s="23"/>
      <c r="CN78" s="19"/>
      <c r="CO78" s="19">
        <v>0</v>
      </c>
      <c r="CP78" s="75"/>
      <c r="CQ78" s="75"/>
      <c r="CR78" s="75"/>
      <c r="CS78" s="19">
        <f t="shared" ref="CS78" si="125">SUM(CT78)</f>
        <v>0</v>
      </c>
      <c r="CT78" s="19">
        <f t="shared" ref="CT78" si="126">SUM(CU78:CV78)</f>
        <v>0</v>
      </c>
      <c r="CU78" s="19">
        <v>0</v>
      </c>
      <c r="CV78" s="20">
        <v>0</v>
      </c>
      <c r="CW78" s="52"/>
    </row>
    <row r="79" spans="1:101" s="58" customFormat="1" ht="15.6" x14ac:dyDescent="0.3">
      <c r="A79" s="104" t="s">
        <v>151</v>
      </c>
      <c r="B79" s="16" t="s">
        <v>1</v>
      </c>
      <c r="C79" s="17" t="s">
        <v>494</v>
      </c>
      <c r="D79" s="18">
        <f t="shared" ref="D79:AK79" si="127">SUM(D80)</f>
        <v>41521276</v>
      </c>
      <c r="E79" s="18">
        <f t="shared" si="127"/>
        <v>40657143</v>
      </c>
      <c r="F79" s="18">
        <f t="shared" si="127"/>
        <v>40650815</v>
      </c>
      <c r="G79" s="18">
        <f t="shared" si="127"/>
        <v>34164376</v>
      </c>
      <c r="H79" s="18">
        <f t="shared" si="127"/>
        <v>684000</v>
      </c>
      <c r="I79" s="18">
        <f t="shared" si="127"/>
        <v>3923093</v>
      </c>
      <c r="J79" s="18">
        <f>J80</f>
        <v>34761</v>
      </c>
      <c r="K79" s="18">
        <f t="shared" ref="K79:O79" si="128">K80</f>
        <v>331235</v>
      </c>
      <c r="L79" s="18">
        <f t="shared" si="128"/>
        <v>41865</v>
      </c>
      <c r="M79" s="18">
        <f t="shared" si="128"/>
        <v>46500</v>
      </c>
      <c r="N79" s="18">
        <f t="shared" si="128"/>
        <v>3144131</v>
      </c>
      <c r="O79" s="18">
        <f t="shared" si="128"/>
        <v>324601</v>
      </c>
      <c r="P79" s="18">
        <f t="shared" si="127"/>
        <v>128404</v>
      </c>
      <c r="Q79" s="18">
        <f t="shared" si="127"/>
        <v>3314</v>
      </c>
      <c r="R79" s="18">
        <f t="shared" si="127"/>
        <v>125090</v>
      </c>
      <c r="S79" s="18">
        <f t="shared" si="127"/>
        <v>0</v>
      </c>
      <c r="T79" s="18">
        <f t="shared" si="127"/>
        <v>49376</v>
      </c>
      <c r="U79" s="18">
        <f t="shared" si="127"/>
        <v>266892</v>
      </c>
      <c r="V79" s="18">
        <f t="shared" si="127"/>
        <v>99145</v>
      </c>
      <c r="W79" s="18">
        <f t="shared" si="127"/>
        <v>0</v>
      </c>
      <c r="X79" s="18">
        <f t="shared" si="127"/>
        <v>117600</v>
      </c>
      <c r="Y79" s="18">
        <f t="shared" si="127"/>
        <v>23263</v>
      </c>
      <c r="Z79" s="18">
        <f t="shared" si="127"/>
        <v>9493</v>
      </c>
      <c r="AA79" s="18">
        <f t="shared" si="127"/>
        <v>0</v>
      </c>
      <c r="AB79" s="18">
        <f t="shared" si="127"/>
        <v>0</v>
      </c>
      <c r="AC79" s="18">
        <f t="shared" si="127"/>
        <v>17391</v>
      </c>
      <c r="AD79" s="18">
        <f t="shared" si="127"/>
        <v>0</v>
      </c>
      <c r="AE79" s="18">
        <f t="shared" si="127"/>
        <v>1434674</v>
      </c>
      <c r="AF79" s="18">
        <f t="shared" si="127"/>
        <v>0</v>
      </c>
      <c r="AG79" s="18">
        <f t="shared" si="127"/>
        <v>0</v>
      </c>
      <c r="AH79" s="18">
        <f t="shared" si="127"/>
        <v>0</v>
      </c>
      <c r="AI79" s="18">
        <f t="shared" si="127"/>
        <v>0</v>
      </c>
      <c r="AJ79" s="18">
        <f t="shared" si="127"/>
        <v>0</v>
      </c>
      <c r="AK79" s="18">
        <f t="shared" si="127"/>
        <v>0</v>
      </c>
      <c r="AL79" s="18">
        <f t="shared" ref="AL79:CV79" si="129">SUM(AL80)</f>
        <v>5020</v>
      </c>
      <c r="AM79" s="18">
        <f t="shared" si="129"/>
        <v>0</v>
      </c>
      <c r="AN79" s="18">
        <f t="shared" si="129"/>
        <v>23076</v>
      </c>
      <c r="AO79" s="18">
        <f t="shared" si="129"/>
        <v>52380</v>
      </c>
      <c r="AP79" s="18">
        <f t="shared" si="129"/>
        <v>0</v>
      </c>
      <c r="AQ79" s="18">
        <f t="shared" si="129"/>
        <v>22500</v>
      </c>
      <c r="AR79" s="18">
        <f t="shared" si="129"/>
        <v>6344</v>
      </c>
      <c r="AS79" s="18">
        <f t="shared" si="129"/>
        <v>19200</v>
      </c>
      <c r="AT79" s="18"/>
      <c r="AU79" s="18"/>
      <c r="AV79" s="18">
        <f t="shared" si="129"/>
        <v>0</v>
      </c>
      <c r="AW79" s="18">
        <f t="shared" si="129"/>
        <v>1052116</v>
      </c>
      <c r="AX79" s="18">
        <f t="shared" si="129"/>
        <v>45000</v>
      </c>
      <c r="AY79" s="18"/>
      <c r="AZ79" s="18">
        <f t="shared" si="129"/>
        <v>209038</v>
      </c>
      <c r="BA79" s="18">
        <f t="shared" si="129"/>
        <v>6328</v>
      </c>
      <c r="BB79" s="18">
        <f t="shared" si="129"/>
        <v>0</v>
      </c>
      <c r="BC79" s="18">
        <f t="shared" si="129"/>
        <v>0</v>
      </c>
      <c r="BD79" s="18">
        <f t="shared" si="129"/>
        <v>0</v>
      </c>
      <c r="BE79" s="18">
        <f t="shared" si="129"/>
        <v>0</v>
      </c>
      <c r="BF79" s="18">
        <f t="shared" si="129"/>
        <v>0</v>
      </c>
      <c r="BG79" s="18">
        <f t="shared" si="129"/>
        <v>0</v>
      </c>
      <c r="BH79" s="18">
        <f t="shared" si="129"/>
        <v>0</v>
      </c>
      <c r="BI79" s="18">
        <f t="shared" si="129"/>
        <v>0</v>
      </c>
      <c r="BJ79" s="18">
        <f t="shared" si="129"/>
        <v>0</v>
      </c>
      <c r="BK79" s="18">
        <f t="shared" si="129"/>
        <v>6328</v>
      </c>
      <c r="BL79" s="18">
        <f t="shared" si="129"/>
        <v>6328</v>
      </c>
      <c r="BM79" s="18">
        <f t="shared" si="129"/>
        <v>0</v>
      </c>
      <c r="BN79" s="18">
        <f t="shared" si="129"/>
        <v>0</v>
      </c>
      <c r="BO79" s="18">
        <f t="shared" si="129"/>
        <v>0</v>
      </c>
      <c r="BP79" s="18">
        <f t="shared" si="129"/>
        <v>0</v>
      </c>
      <c r="BQ79" s="18">
        <f t="shared" si="129"/>
        <v>0</v>
      </c>
      <c r="BR79" s="18">
        <f t="shared" si="129"/>
        <v>0</v>
      </c>
      <c r="BS79" s="18">
        <f t="shared" si="129"/>
        <v>0</v>
      </c>
      <c r="BT79" s="18">
        <f t="shared" si="129"/>
        <v>0</v>
      </c>
      <c r="BU79" s="18">
        <f t="shared" si="129"/>
        <v>0</v>
      </c>
      <c r="BV79" s="18">
        <f t="shared" si="129"/>
        <v>0</v>
      </c>
      <c r="BW79" s="18">
        <f t="shared" si="129"/>
        <v>0</v>
      </c>
      <c r="BX79" s="18">
        <f t="shared" si="129"/>
        <v>0</v>
      </c>
      <c r="BY79" s="18">
        <f t="shared" si="129"/>
        <v>0</v>
      </c>
      <c r="BZ79" s="18">
        <f t="shared" si="129"/>
        <v>864133</v>
      </c>
      <c r="CA79" s="18">
        <f t="shared" si="129"/>
        <v>864133</v>
      </c>
      <c r="CB79" s="18">
        <f t="shared" si="129"/>
        <v>864133</v>
      </c>
      <c r="CC79" s="18">
        <f t="shared" si="129"/>
        <v>0</v>
      </c>
      <c r="CD79" s="18">
        <f t="shared" si="129"/>
        <v>864133</v>
      </c>
      <c r="CE79" s="18">
        <f t="shared" si="129"/>
        <v>0</v>
      </c>
      <c r="CF79" s="18">
        <f t="shared" si="129"/>
        <v>0</v>
      </c>
      <c r="CG79" s="18">
        <f t="shared" si="129"/>
        <v>0</v>
      </c>
      <c r="CH79" s="18">
        <f t="shared" si="129"/>
        <v>0</v>
      </c>
      <c r="CI79" s="18">
        <f t="shared" si="129"/>
        <v>0</v>
      </c>
      <c r="CJ79" s="18">
        <f t="shared" si="129"/>
        <v>0</v>
      </c>
      <c r="CK79" s="18">
        <f t="shared" si="129"/>
        <v>0</v>
      </c>
      <c r="CL79" s="18">
        <f t="shared" si="129"/>
        <v>0</v>
      </c>
      <c r="CM79" s="18">
        <f t="shared" si="129"/>
        <v>0</v>
      </c>
      <c r="CN79" s="18"/>
      <c r="CO79" s="18">
        <f t="shared" si="129"/>
        <v>0</v>
      </c>
      <c r="CP79" s="74"/>
      <c r="CQ79" s="74"/>
      <c r="CR79" s="74"/>
      <c r="CS79" s="18">
        <f t="shared" si="129"/>
        <v>0</v>
      </c>
      <c r="CT79" s="18">
        <f t="shared" si="129"/>
        <v>0</v>
      </c>
      <c r="CU79" s="18">
        <f t="shared" si="129"/>
        <v>0</v>
      </c>
      <c r="CV79" s="46">
        <f t="shared" si="129"/>
        <v>0</v>
      </c>
      <c r="CW79" s="57"/>
    </row>
    <row r="80" spans="1:101" s="79" customFormat="1" ht="15.6" x14ac:dyDescent="0.3">
      <c r="A80" s="107" t="s">
        <v>1</v>
      </c>
      <c r="B80" s="72" t="s">
        <v>152</v>
      </c>
      <c r="C80" s="73" t="s">
        <v>560</v>
      </c>
      <c r="D80" s="75">
        <f>SUM(E80+BZ80+CS80)</f>
        <v>41521276</v>
      </c>
      <c r="E80" s="75">
        <f>SUM(F80+BA80)</f>
        <v>40657143</v>
      </c>
      <c r="F80" s="75">
        <f>SUM(G80+H80+I80+P80+S80+T80+U80+AE80+AD80)</f>
        <v>40650815</v>
      </c>
      <c r="G80" s="76">
        <v>34164376</v>
      </c>
      <c r="H80" s="76">
        <v>684000</v>
      </c>
      <c r="I80" s="75">
        <f t="shared" si="110"/>
        <v>3923093</v>
      </c>
      <c r="J80" s="76">
        <v>34761</v>
      </c>
      <c r="K80" s="76">
        <v>331235</v>
      </c>
      <c r="L80" s="76">
        <v>41865</v>
      </c>
      <c r="M80" s="76">
        <f>0+46500</f>
        <v>46500</v>
      </c>
      <c r="N80" s="76">
        <f>3190631-46500</f>
        <v>3144131</v>
      </c>
      <c r="O80" s="76">
        <v>324601</v>
      </c>
      <c r="P80" s="75">
        <f t="shared" si="111"/>
        <v>128404</v>
      </c>
      <c r="Q80" s="76">
        <v>3314</v>
      </c>
      <c r="R80" s="76">
        <v>125090</v>
      </c>
      <c r="S80" s="76">
        <v>0</v>
      </c>
      <c r="T80" s="76">
        <v>49376</v>
      </c>
      <c r="U80" s="75">
        <f>SUM(V80:AC80)</f>
        <v>266892</v>
      </c>
      <c r="V80" s="76">
        <v>99145</v>
      </c>
      <c r="W80" s="76">
        <v>0</v>
      </c>
      <c r="X80" s="76">
        <v>117600</v>
      </c>
      <c r="Y80" s="76">
        <v>23263</v>
      </c>
      <c r="Z80" s="76">
        <v>9493</v>
      </c>
      <c r="AA80" s="76">
        <v>0</v>
      </c>
      <c r="AB80" s="76">
        <v>0</v>
      </c>
      <c r="AC80" s="76">
        <v>17391</v>
      </c>
      <c r="AD80" s="75">
        <v>0</v>
      </c>
      <c r="AE80" s="75">
        <f>SUM(AF80:AZ80)</f>
        <v>1434674</v>
      </c>
      <c r="AF80" s="75">
        <v>0</v>
      </c>
      <c r="AG80" s="75">
        <v>0</v>
      </c>
      <c r="AH80" s="75">
        <v>0</v>
      </c>
      <c r="AI80" s="75">
        <v>0</v>
      </c>
      <c r="AJ80" s="76">
        <v>0</v>
      </c>
      <c r="AK80" s="76">
        <v>0</v>
      </c>
      <c r="AL80" s="76">
        <v>5020</v>
      </c>
      <c r="AM80" s="76">
        <v>0</v>
      </c>
      <c r="AN80" s="76">
        <v>23076</v>
      </c>
      <c r="AO80" s="76">
        <v>52380</v>
      </c>
      <c r="AP80" s="76">
        <v>0</v>
      </c>
      <c r="AQ80" s="76">
        <v>22500</v>
      </c>
      <c r="AR80" s="76">
        <v>6344</v>
      </c>
      <c r="AS80" s="76">
        <v>19200</v>
      </c>
      <c r="AT80" s="76">
        <v>0</v>
      </c>
      <c r="AU80" s="76">
        <v>0</v>
      </c>
      <c r="AV80" s="76">
        <v>0</v>
      </c>
      <c r="AW80" s="76">
        <v>1052116</v>
      </c>
      <c r="AX80" s="76">
        <v>45000</v>
      </c>
      <c r="AY80" s="76">
        <v>0</v>
      </c>
      <c r="AZ80" s="76">
        <v>209038</v>
      </c>
      <c r="BA80" s="75">
        <f>SUM(BB80+BF80+BI80+BK80+BN80)</f>
        <v>6328</v>
      </c>
      <c r="BB80" s="75">
        <f>SUM(BC80:BE80)</f>
        <v>0</v>
      </c>
      <c r="BC80" s="75">
        <v>0</v>
      </c>
      <c r="BD80" s="75">
        <v>0</v>
      </c>
      <c r="BE80" s="75">
        <v>0</v>
      </c>
      <c r="BF80" s="75">
        <f>SUM(BH80:BH80)</f>
        <v>0</v>
      </c>
      <c r="BG80" s="75">
        <v>0</v>
      </c>
      <c r="BH80" s="75">
        <v>0</v>
      </c>
      <c r="BI80" s="75">
        <v>0</v>
      </c>
      <c r="BJ80" s="75"/>
      <c r="BK80" s="75">
        <f t="shared" si="112"/>
        <v>6328</v>
      </c>
      <c r="BL80" s="75">
        <v>6328</v>
      </c>
      <c r="BM80" s="75"/>
      <c r="BN80" s="75">
        <f>SUM(BO80:BY80)</f>
        <v>0</v>
      </c>
      <c r="BO80" s="75">
        <v>0</v>
      </c>
      <c r="BP80" s="75">
        <v>0</v>
      </c>
      <c r="BQ80" s="75">
        <v>0</v>
      </c>
      <c r="BR80" s="75">
        <v>0</v>
      </c>
      <c r="BS80" s="75">
        <v>0</v>
      </c>
      <c r="BT80" s="75">
        <v>0</v>
      </c>
      <c r="BU80" s="75">
        <v>0</v>
      </c>
      <c r="BV80" s="75">
        <v>0</v>
      </c>
      <c r="BW80" s="75">
        <v>0</v>
      </c>
      <c r="BX80" s="75">
        <v>0</v>
      </c>
      <c r="BY80" s="75"/>
      <c r="BZ80" s="75">
        <f>SUM(CA80+CO80)</f>
        <v>864133</v>
      </c>
      <c r="CA80" s="75">
        <f>SUM(CB80+CE80+CK80)</f>
        <v>864133</v>
      </c>
      <c r="CB80" s="75">
        <f t="shared" si="113"/>
        <v>864133</v>
      </c>
      <c r="CC80" s="75">
        <v>0</v>
      </c>
      <c r="CD80" s="76">
        <v>864133</v>
      </c>
      <c r="CE80" s="75">
        <f>SUM(CF80:CJ80)</f>
        <v>0</v>
      </c>
      <c r="CF80" s="75">
        <v>0</v>
      </c>
      <c r="CG80" s="75">
        <v>0</v>
      </c>
      <c r="CH80" s="75"/>
      <c r="CI80" s="75">
        <v>0</v>
      </c>
      <c r="CJ80" s="75">
        <v>0</v>
      </c>
      <c r="CK80" s="75">
        <f>SUM(CL80:CN80)</f>
        <v>0</v>
      </c>
      <c r="CL80" s="75"/>
      <c r="CM80" s="75"/>
      <c r="CN80" s="75"/>
      <c r="CO80" s="75">
        <v>0</v>
      </c>
      <c r="CP80" s="75"/>
      <c r="CQ80" s="75"/>
      <c r="CR80" s="75"/>
      <c r="CS80" s="75">
        <f t="shared" si="114"/>
        <v>0</v>
      </c>
      <c r="CT80" s="75">
        <f t="shared" si="115"/>
        <v>0</v>
      </c>
      <c r="CU80" s="75">
        <v>0</v>
      </c>
      <c r="CV80" s="78">
        <v>0</v>
      </c>
    </row>
    <row r="81" spans="1:101" s="58" customFormat="1" ht="31.2" x14ac:dyDescent="0.3">
      <c r="A81" s="106" t="s">
        <v>154</v>
      </c>
      <c r="B81" s="25" t="s">
        <v>1</v>
      </c>
      <c r="C81" s="26" t="s">
        <v>155</v>
      </c>
      <c r="D81" s="27">
        <f>SUM(D82+D85)</f>
        <v>16315421</v>
      </c>
      <c r="E81" s="27">
        <f t="shared" ref="E81:BT81" si="130">SUM(E82+E85)</f>
        <v>16312698</v>
      </c>
      <c r="F81" s="27">
        <f t="shared" si="130"/>
        <v>16312698</v>
      </c>
      <c r="G81" s="27">
        <f t="shared" si="130"/>
        <v>2038065</v>
      </c>
      <c r="H81" s="27">
        <f t="shared" si="130"/>
        <v>465743</v>
      </c>
      <c r="I81" s="27">
        <f t="shared" si="130"/>
        <v>65409</v>
      </c>
      <c r="J81" s="27">
        <f t="shared" si="130"/>
        <v>0</v>
      </c>
      <c r="K81" s="27">
        <f t="shared" si="130"/>
        <v>0</v>
      </c>
      <c r="L81" s="27">
        <f t="shared" si="130"/>
        <v>0</v>
      </c>
      <c r="M81" s="27">
        <f t="shared" si="130"/>
        <v>0</v>
      </c>
      <c r="N81" s="27">
        <f t="shared" si="130"/>
        <v>65409</v>
      </c>
      <c r="O81" s="27">
        <f t="shared" si="130"/>
        <v>0</v>
      </c>
      <c r="P81" s="27">
        <f t="shared" si="130"/>
        <v>0</v>
      </c>
      <c r="Q81" s="27">
        <f t="shared" si="130"/>
        <v>0</v>
      </c>
      <c r="R81" s="27">
        <f t="shared" si="130"/>
        <v>0</v>
      </c>
      <c r="S81" s="27">
        <f t="shared" si="130"/>
        <v>0</v>
      </c>
      <c r="T81" s="27">
        <f t="shared" si="130"/>
        <v>28331</v>
      </c>
      <c r="U81" s="27">
        <f t="shared" si="130"/>
        <v>57043</v>
      </c>
      <c r="V81" s="27">
        <f t="shared" si="130"/>
        <v>0</v>
      </c>
      <c r="W81" s="27">
        <f t="shared" si="130"/>
        <v>30404</v>
      </c>
      <c r="X81" s="27">
        <f t="shared" si="130"/>
        <v>3914</v>
      </c>
      <c r="Y81" s="27">
        <f t="shared" si="130"/>
        <v>22725</v>
      </c>
      <c r="Z81" s="27">
        <f t="shared" si="130"/>
        <v>0</v>
      </c>
      <c r="AA81" s="27">
        <f t="shared" si="130"/>
        <v>0</v>
      </c>
      <c r="AB81" s="27">
        <f t="shared" si="130"/>
        <v>0</v>
      </c>
      <c r="AC81" s="27">
        <f t="shared" si="130"/>
        <v>0</v>
      </c>
      <c r="AD81" s="27">
        <f t="shared" si="130"/>
        <v>0</v>
      </c>
      <c r="AE81" s="27">
        <f t="shared" si="130"/>
        <v>13658107</v>
      </c>
      <c r="AF81" s="27">
        <f t="shared" si="130"/>
        <v>0</v>
      </c>
      <c r="AG81" s="27">
        <f t="shared" si="130"/>
        <v>13595053</v>
      </c>
      <c r="AH81" s="27">
        <f t="shared" si="130"/>
        <v>0</v>
      </c>
      <c r="AI81" s="27">
        <f t="shared" si="130"/>
        <v>0</v>
      </c>
      <c r="AJ81" s="27">
        <f t="shared" si="130"/>
        <v>0</v>
      </c>
      <c r="AK81" s="27">
        <f t="shared" si="130"/>
        <v>2522</v>
      </c>
      <c r="AL81" s="27">
        <f t="shared" si="130"/>
        <v>0</v>
      </c>
      <c r="AM81" s="27">
        <f t="shared" si="130"/>
        <v>0</v>
      </c>
      <c r="AN81" s="27">
        <f t="shared" si="130"/>
        <v>0</v>
      </c>
      <c r="AO81" s="27">
        <f t="shared" si="130"/>
        <v>0</v>
      </c>
      <c r="AP81" s="27">
        <f t="shared" si="130"/>
        <v>0</v>
      </c>
      <c r="AQ81" s="27">
        <f t="shared" si="130"/>
        <v>0</v>
      </c>
      <c r="AR81" s="27">
        <f t="shared" si="130"/>
        <v>0</v>
      </c>
      <c r="AS81" s="27">
        <f t="shared" si="130"/>
        <v>0</v>
      </c>
      <c r="AT81" s="27"/>
      <c r="AU81" s="27"/>
      <c r="AV81" s="27">
        <f t="shared" si="130"/>
        <v>0</v>
      </c>
      <c r="AW81" s="27">
        <f t="shared" si="130"/>
        <v>0</v>
      </c>
      <c r="AX81" s="27">
        <f t="shared" si="130"/>
        <v>54900</v>
      </c>
      <c r="AY81" s="27"/>
      <c r="AZ81" s="27">
        <f t="shared" si="130"/>
        <v>5632</v>
      </c>
      <c r="BA81" s="27">
        <f t="shared" si="130"/>
        <v>0</v>
      </c>
      <c r="BB81" s="27">
        <f t="shared" si="130"/>
        <v>0</v>
      </c>
      <c r="BC81" s="27">
        <f t="shared" si="130"/>
        <v>0</v>
      </c>
      <c r="BD81" s="27">
        <f t="shared" si="130"/>
        <v>0</v>
      </c>
      <c r="BE81" s="27">
        <f t="shared" si="130"/>
        <v>0</v>
      </c>
      <c r="BF81" s="27">
        <f t="shared" si="130"/>
        <v>0</v>
      </c>
      <c r="BG81" s="27">
        <f t="shared" si="130"/>
        <v>0</v>
      </c>
      <c r="BH81" s="27">
        <f t="shared" si="130"/>
        <v>0</v>
      </c>
      <c r="BI81" s="27">
        <f t="shared" si="130"/>
        <v>0</v>
      </c>
      <c r="BJ81" s="27">
        <f t="shared" ref="BJ81" si="131">SUM(BJ82+BJ85)</f>
        <v>0</v>
      </c>
      <c r="BK81" s="27">
        <f t="shared" si="130"/>
        <v>0</v>
      </c>
      <c r="BL81" s="27">
        <f t="shared" si="130"/>
        <v>0</v>
      </c>
      <c r="BM81" s="27">
        <f t="shared" ref="BM81" si="132">SUM(BM82+BM85)</f>
        <v>0</v>
      </c>
      <c r="BN81" s="27">
        <f t="shared" si="130"/>
        <v>0</v>
      </c>
      <c r="BO81" s="27">
        <f t="shared" si="130"/>
        <v>0</v>
      </c>
      <c r="BP81" s="27">
        <f t="shared" si="130"/>
        <v>0</v>
      </c>
      <c r="BQ81" s="27">
        <f t="shared" si="130"/>
        <v>0</v>
      </c>
      <c r="BR81" s="27">
        <f t="shared" si="130"/>
        <v>0</v>
      </c>
      <c r="BS81" s="27">
        <f t="shared" si="130"/>
        <v>0</v>
      </c>
      <c r="BT81" s="27">
        <f t="shared" si="130"/>
        <v>0</v>
      </c>
      <c r="BU81" s="27">
        <f t="shared" ref="BU81:CV81" si="133">SUM(BU82+BU85)</f>
        <v>0</v>
      </c>
      <c r="BV81" s="27">
        <f t="shared" si="133"/>
        <v>0</v>
      </c>
      <c r="BW81" s="27">
        <f t="shared" si="133"/>
        <v>0</v>
      </c>
      <c r="BX81" s="27">
        <f t="shared" si="133"/>
        <v>0</v>
      </c>
      <c r="BY81" s="27">
        <f t="shared" si="133"/>
        <v>0</v>
      </c>
      <c r="BZ81" s="27">
        <f t="shared" si="133"/>
        <v>2723</v>
      </c>
      <c r="CA81" s="27">
        <f t="shared" si="133"/>
        <v>2723</v>
      </c>
      <c r="CB81" s="27">
        <f t="shared" si="133"/>
        <v>2723</v>
      </c>
      <c r="CC81" s="27">
        <f t="shared" si="133"/>
        <v>0</v>
      </c>
      <c r="CD81" s="27">
        <f t="shared" si="133"/>
        <v>2723</v>
      </c>
      <c r="CE81" s="27">
        <f t="shared" si="133"/>
        <v>0</v>
      </c>
      <c r="CF81" s="27">
        <f t="shared" si="133"/>
        <v>0</v>
      </c>
      <c r="CG81" s="27">
        <f t="shared" ref="CG81:CH81" si="134">SUM(CG82+CG85)</f>
        <v>0</v>
      </c>
      <c r="CH81" s="27">
        <f t="shared" si="134"/>
        <v>0</v>
      </c>
      <c r="CI81" s="27">
        <f t="shared" si="133"/>
        <v>0</v>
      </c>
      <c r="CJ81" s="27">
        <f t="shared" ref="CJ81" si="135">SUM(CJ82+CJ85)</f>
        <v>0</v>
      </c>
      <c r="CK81" s="27">
        <f t="shared" si="133"/>
        <v>0</v>
      </c>
      <c r="CL81" s="27">
        <f t="shared" ref="CL81" si="136">SUM(CL82+CL85)</f>
        <v>0</v>
      </c>
      <c r="CM81" s="27">
        <f t="shared" si="133"/>
        <v>0</v>
      </c>
      <c r="CN81" s="27"/>
      <c r="CO81" s="27">
        <f t="shared" si="133"/>
        <v>0</v>
      </c>
      <c r="CP81" s="27">
        <f t="shared" si="133"/>
        <v>0</v>
      </c>
      <c r="CQ81" s="27">
        <f t="shared" si="133"/>
        <v>0</v>
      </c>
      <c r="CR81" s="27">
        <f t="shared" si="133"/>
        <v>0</v>
      </c>
      <c r="CS81" s="27">
        <f t="shared" si="133"/>
        <v>0</v>
      </c>
      <c r="CT81" s="27">
        <f t="shared" si="133"/>
        <v>0</v>
      </c>
      <c r="CU81" s="27">
        <f t="shared" si="133"/>
        <v>0</v>
      </c>
      <c r="CV81" s="60">
        <f t="shared" si="133"/>
        <v>0</v>
      </c>
      <c r="CW81" s="57"/>
    </row>
    <row r="82" spans="1:101" s="58" customFormat="1" ht="15.6" x14ac:dyDescent="0.3">
      <c r="A82" s="104" t="s">
        <v>156</v>
      </c>
      <c r="B82" s="16" t="s">
        <v>1</v>
      </c>
      <c r="C82" s="17" t="s">
        <v>157</v>
      </c>
      <c r="D82" s="18">
        <f t="shared" ref="D82:AK82" si="137">SUM(D83:D84)</f>
        <v>2355326</v>
      </c>
      <c r="E82" s="18">
        <f t="shared" si="137"/>
        <v>2352603</v>
      </c>
      <c r="F82" s="18">
        <f t="shared" si="137"/>
        <v>2352603</v>
      </c>
      <c r="G82" s="18">
        <f t="shared" si="137"/>
        <v>1741644</v>
      </c>
      <c r="H82" s="18">
        <f t="shared" si="137"/>
        <v>397122</v>
      </c>
      <c r="I82" s="18">
        <f t="shared" si="137"/>
        <v>65409</v>
      </c>
      <c r="J82" s="18">
        <f t="shared" si="137"/>
        <v>0</v>
      </c>
      <c r="K82" s="18">
        <f t="shared" si="137"/>
        <v>0</v>
      </c>
      <c r="L82" s="18">
        <f t="shared" si="137"/>
        <v>0</v>
      </c>
      <c r="M82" s="18">
        <f t="shared" si="137"/>
        <v>0</v>
      </c>
      <c r="N82" s="18">
        <f t="shared" si="137"/>
        <v>65409</v>
      </c>
      <c r="O82" s="18">
        <f t="shared" si="137"/>
        <v>0</v>
      </c>
      <c r="P82" s="18">
        <f t="shared" si="137"/>
        <v>0</v>
      </c>
      <c r="Q82" s="18">
        <f t="shared" si="137"/>
        <v>0</v>
      </c>
      <c r="R82" s="18">
        <f t="shared" si="137"/>
        <v>0</v>
      </c>
      <c r="S82" s="18">
        <f t="shared" si="137"/>
        <v>0</v>
      </c>
      <c r="T82" s="18">
        <f t="shared" si="137"/>
        <v>28331</v>
      </c>
      <c r="U82" s="18">
        <f t="shared" si="137"/>
        <v>57043</v>
      </c>
      <c r="V82" s="18">
        <f t="shared" si="137"/>
        <v>0</v>
      </c>
      <c r="W82" s="18">
        <f t="shared" si="137"/>
        <v>30404</v>
      </c>
      <c r="X82" s="18">
        <f t="shared" si="137"/>
        <v>3914</v>
      </c>
      <c r="Y82" s="18">
        <f t="shared" si="137"/>
        <v>22725</v>
      </c>
      <c r="Z82" s="18">
        <f t="shared" si="137"/>
        <v>0</v>
      </c>
      <c r="AA82" s="18">
        <f t="shared" si="137"/>
        <v>0</v>
      </c>
      <c r="AB82" s="18">
        <f t="shared" si="137"/>
        <v>0</v>
      </c>
      <c r="AC82" s="18">
        <f t="shared" ref="AC82:AD82" si="138">SUM(AC83:AC84)</f>
        <v>0</v>
      </c>
      <c r="AD82" s="18">
        <f t="shared" si="138"/>
        <v>0</v>
      </c>
      <c r="AE82" s="18">
        <f t="shared" si="137"/>
        <v>63054</v>
      </c>
      <c r="AF82" s="18">
        <f t="shared" si="137"/>
        <v>0</v>
      </c>
      <c r="AG82" s="18">
        <f t="shared" ref="AG82" si="139">SUM(AG83:AG84)</f>
        <v>0</v>
      </c>
      <c r="AH82" s="18">
        <f t="shared" si="137"/>
        <v>0</v>
      </c>
      <c r="AI82" s="18">
        <f t="shared" si="137"/>
        <v>0</v>
      </c>
      <c r="AJ82" s="18">
        <f t="shared" si="137"/>
        <v>0</v>
      </c>
      <c r="AK82" s="18">
        <f t="shared" si="137"/>
        <v>2522</v>
      </c>
      <c r="AL82" s="18">
        <f t="shared" ref="AL82:CV82" si="140">SUM(AL83:AL84)</f>
        <v>0</v>
      </c>
      <c r="AM82" s="18">
        <f t="shared" si="140"/>
        <v>0</v>
      </c>
      <c r="AN82" s="18">
        <f t="shared" si="140"/>
        <v>0</v>
      </c>
      <c r="AO82" s="18">
        <f t="shared" si="140"/>
        <v>0</v>
      </c>
      <c r="AP82" s="18">
        <f t="shared" si="140"/>
        <v>0</v>
      </c>
      <c r="AQ82" s="18">
        <f t="shared" si="140"/>
        <v>0</v>
      </c>
      <c r="AR82" s="18">
        <f t="shared" si="140"/>
        <v>0</v>
      </c>
      <c r="AS82" s="18">
        <f t="shared" si="140"/>
        <v>0</v>
      </c>
      <c r="AT82" s="18"/>
      <c r="AU82" s="18"/>
      <c r="AV82" s="18">
        <f t="shared" si="140"/>
        <v>0</v>
      </c>
      <c r="AW82" s="18">
        <f t="shared" si="140"/>
        <v>0</v>
      </c>
      <c r="AX82" s="18">
        <f t="shared" si="140"/>
        <v>54900</v>
      </c>
      <c r="AY82" s="18"/>
      <c r="AZ82" s="18">
        <f t="shared" si="140"/>
        <v>5632</v>
      </c>
      <c r="BA82" s="18">
        <f t="shared" si="140"/>
        <v>0</v>
      </c>
      <c r="BB82" s="18">
        <f t="shared" si="140"/>
        <v>0</v>
      </c>
      <c r="BC82" s="18">
        <f t="shared" si="140"/>
        <v>0</v>
      </c>
      <c r="BD82" s="18">
        <f t="shared" si="140"/>
        <v>0</v>
      </c>
      <c r="BE82" s="18">
        <f t="shared" si="140"/>
        <v>0</v>
      </c>
      <c r="BF82" s="18">
        <f t="shared" si="140"/>
        <v>0</v>
      </c>
      <c r="BG82" s="18">
        <f t="shared" si="140"/>
        <v>0</v>
      </c>
      <c r="BH82" s="18">
        <f t="shared" si="140"/>
        <v>0</v>
      </c>
      <c r="BI82" s="18">
        <f t="shared" si="140"/>
        <v>0</v>
      </c>
      <c r="BJ82" s="18">
        <f t="shared" ref="BJ82" si="141">SUM(BJ83:BJ84)</f>
        <v>0</v>
      </c>
      <c r="BK82" s="18">
        <f t="shared" si="140"/>
        <v>0</v>
      </c>
      <c r="BL82" s="18">
        <f t="shared" si="140"/>
        <v>0</v>
      </c>
      <c r="BM82" s="18">
        <f t="shared" ref="BM82" si="142">SUM(BM83:BM84)</f>
        <v>0</v>
      </c>
      <c r="BN82" s="18">
        <f t="shared" si="140"/>
        <v>0</v>
      </c>
      <c r="BO82" s="18">
        <f t="shared" si="140"/>
        <v>0</v>
      </c>
      <c r="BP82" s="18">
        <f t="shared" si="140"/>
        <v>0</v>
      </c>
      <c r="BQ82" s="18">
        <f t="shared" si="140"/>
        <v>0</v>
      </c>
      <c r="BR82" s="18">
        <f t="shared" si="140"/>
        <v>0</v>
      </c>
      <c r="BS82" s="18">
        <f t="shared" si="140"/>
        <v>0</v>
      </c>
      <c r="BT82" s="18">
        <f t="shared" si="140"/>
        <v>0</v>
      </c>
      <c r="BU82" s="18">
        <f t="shared" si="140"/>
        <v>0</v>
      </c>
      <c r="BV82" s="18">
        <f t="shared" si="140"/>
        <v>0</v>
      </c>
      <c r="BW82" s="18">
        <f t="shared" si="140"/>
        <v>0</v>
      </c>
      <c r="BX82" s="18">
        <f t="shared" si="140"/>
        <v>0</v>
      </c>
      <c r="BY82" s="18">
        <f t="shared" si="140"/>
        <v>0</v>
      </c>
      <c r="BZ82" s="18">
        <f t="shared" si="140"/>
        <v>2723</v>
      </c>
      <c r="CA82" s="18">
        <f t="shared" si="140"/>
        <v>2723</v>
      </c>
      <c r="CB82" s="18">
        <f t="shared" si="140"/>
        <v>2723</v>
      </c>
      <c r="CC82" s="18">
        <f t="shared" si="140"/>
        <v>0</v>
      </c>
      <c r="CD82" s="18">
        <f t="shared" si="140"/>
        <v>2723</v>
      </c>
      <c r="CE82" s="18">
        <f t="shared" si="140"/>
        <v>0</v>
      </c>
      <c r="CF82" s="18">
        <f t="shared" si="140"/>
        <v>0</v>
      </c>
      <c r="CG82" s="18">
        <f t="shared" ref="CG82:CH82" si="143">SUM(CG83:CG84)</f>
        <v>0</v>
      </c>
      <c r="CH82" s="18">
        <f t="shared" si="143"/>
        <v>0</v>
      </c>
      <c r="CI82" s="18">
        <f t="shared" si="140"/>
        <v>0</v>
      </c>
      <c r="CJ82" s="18">
        <f t="shared" ref="CJ82" si="144">SUM(CJ83:CJ84)</f>
        <v>0</v>
      </c>
      <c r="CK82" s="18">
        <f t="shared" si="140"/>
        <v>0</v>
      </c>
      <c r="CL82" s="18">
        <f t="shared" ref="CL82" si="145">SUM(CL83:CL84)</f>
        <v>0</v>
      </c>
      <c r="CM82" s="18">
        <f t="shared" si="140"/>
        <v>0</v>
      </c>
      <c r="CN82" s="18"/>
      <c r="CO82" s="18">
        <f t="shared" si="140"/>
        <v>0</v>
      </c>
      <c r="CP82" s="74"/>
      <c r="CQ82" s="74"/>
      <c r="CR82" s="74"/>
      <c r="CS82" s="18">
        <f t="shared" si="140"/>
        <v>0</v>
      </c>
      <c r="CT82" s="18">
        <f t="shared" si="140"/>
        <v>0</v>
      </c>
      <c r="CU82" s="18">
        <f t="shared" si="140"/>
        <v>0</v>
      </c>
      <c r="CV82" s="46">
        <f t="shared" si="140"/>
        <v>0</v>
      </c>
      <c r="CW82" s="57"/>
    </row>
    <row r="83" spans="1:101" ht="31.2" x14ac:dyDescent="0.3">
      <c r="A83" s="105" t="s">
        <v>1</v>
      </c>
      <c r="B83" s="21" t="s">
        <v>66</v>
      </c>
      <c r="C83" s="22" t="s">
        <v>158</v>
      </c>
      <c r="D83" s="19">
        <f>SUM(E83+BZ83+CS83)</f>
        <v>1484026</v>
      </c>
      <c r="E83" s="19">
        <f>SUM(F83+BA83)</f>
        <v>1484026</v>
      </c>
      <c r="F83" s="19">
        <f>SUM(G83+H83+I83+P83+S83+T83+U83+AE83+AD83)</f>
        <v>1484026</v>
      </c>
      <c r="G83" s="23">
        <v>1149414</v>
      </c>
      <c r="H83" s="23">
        <v>261232</v>
      </c>
      <c r="I83" s="19">
        <f t="shared" si="110"/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19">
        <f t="shared" si="111"/>
        <v>0</v>
      </c>
      <c r="Q83" s="19">
        <v>0</v>
      </c>
      <c r="R83" s="19">
        <v>0</v>
      </c>
      <c r="S83" s="19">
        <v>0</v>
      </c>
      <c r="T83" s="23">
        <v>11982</v>
      </c>
      <c r="U83" s="19">
        <f t="shared" ref="U83:U84" si="146">SUM(V83:AC83)</f>
        <v>55766</v>
      </c>
      <c r="V83" s="24"/>
      <c r="W83" s="23">
        <v>30404</v>
      </c>
      <c r="X83" s="23">
        <v>2637</v>
      </c>
      <c r="Y83" s="23">
        <v>22725</v>
      </c>
      <c r="Z83" s="23">
        <v>0</v>
      </c>
      <c r="AA83" s="24"/>
      <c r="AB83" s="24"/>
      <c r="AC83" s="24"/>
      <c r="AD83" s="19">
        <v>0</v>
      </c>
      <c r="AE83" s="19">
        <f>SUM(AF83:AZ83)</f>
        <v>5632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23">
        <v>0</v>
      </c>
      <c r="AY83" s="23">
        <v>0</v>
      </c>
      <c r="AZ83" s="23">
        <v>5632</v>
      </c>
      <c r="BA83" s="19">
        <f>SUM(BB83+BF83+BI83+BK83+BN83)</f>
        <v>0</v>
      </c>
      <c r="BB83" s="19">
        <f>SUM(BC83:BE83)</f>
        <v>0</v>
      </c>
      <c r="BC83" s="19">
        <v>0</v>
      </c>
      <c r="BD83" s="19">
        <v>0</v>
      </c>
      <c r="BE83" s="19">
        <v>0</v>
      </c>
      <c r="BF83" s="19">
        <f>SUM(BH83:BH83)</f>
        <v>0</v>
      </c>
      <c r="BG83" s="19">
        <v>0</v>
      </c>
      <c r="BH83" s="19">
        <v>0</v>
      </c>
      <c r="BI83" s="19">
        <v>0</v>
      </c>
      <c r="BJ83" s="19">
        <v>0</v>
      </c>
      <c r="BK83" s="19">
        <f t="shared" si="112"/>
        <v>0</v>
      </c>
      <c r="BL83" s="19">
        <v>0</v>
      </c>
      <c r="BM83" s="19">
        <v>0</v>
      </c>
      <c r="BN83" s="19">
        <f>SUM(BO83:BY83)</f>
        <v>0</v>
      </c>
      <c r="BO83" s="19">
        <v>0</v>
      </c>
      <c r="BP83" s="19">
        <v>0</v>
      </c>
      <c r="BQ83" s="23"/>
      <c r="BR83" s="19">
        <v>0</v>
      </c>
      <c r="BS83" s="19">
        <v>0</v>
      </c>
      <c r="BT83" s="19">
        <v>0</v>
      </c>
      <c r="BU83" s="19">
        <v>0</v>
      </c>
      <c r="BV83" s="19">
        <v>0</v>
      </c>
      <c r="BW83" s="19">
        <v>0</v>
      </c>
      <c r="BX83" s="19">
        <v>0</v>
      </c>
      <c r="BY83" s="19">
        <v>0</v>
      </c>
      <c r="BZ83" s="19">
        <f>SUM(CA83+CO83)</f>
        <v>0</v>
      </c>
      <c r="CA83" s="19">
        <f>SUM(CB83+CE83+CK83)</f>
        <v>0</v>
      </c>
      <c r="CB83" s="19">
        <f t="shared" si="113"/>
        <v>0</v>
      </c>
      <c r="CC83" s="19">
        <v>0</v>
      </c>
      <c r="CD83" s="19">
        <v>0</v>
      </c>
      <c r="CE83" s="19">
        <f>SUM(CF83:CJ83)</f>
        <v>0</v>
      </c>
      <c r="CF83" s="19">
        <v>0</v>
      </c>
      <c r="CG83" s="19">
        <v>0</v>
      </c>
      <c r="CH83" s="19">
        <v>0</v>
      </c>
      <c r="CI83" s="19">
        <v>0</v>
      </c>
      <c r="CJ83" s="19">
        <v>0</v>
      </c>
      <c r="CK83" s="19">
        <f>SUM(CL83:CN83)</f>
        <v>0</v>
      </c>
      <c r="CL83" s="19">
        <v>0</v>
      </c>
      <c r="CM83" s="19">
        <v>0</v>
      </c>
      <c r="CN83" s="19"/>
      <c r="CO83" s="19">
        <v>0</v>
      </c>
      <c r="CP83" s="75"/>
      <c r="CQ83" s="75"/>
      <c r="CR83" s="75"/>
      <c r="CS83" s="19">
        <f t="shared" si="114"/>
        <v>0</v>
      </c>
      <c r="CT83" s="19">
        <f t="shared" si="115"/>
        <v>0</v>
      </c>
      <c r="CU83" s="19">
        <v>0</v>
      </c>
      <c r="CV83" s="20">
        <v>0</v>
      </c>
      <c r="CW83" s="52"/>
    </row>
    <row r="84" spans="1:101" ht="31.2" x14ac:dyDescent="0.3">
      <c r="A84" s="105" t="s">
        <v>1</v>
      </c>
      <c r="B84" s="21" t="s">
        <v>74</v>
      </c>
      <c r="C84" s="22" t="s">
        <v>159</v>
      </c>
      <c r="D84" s="19">
        <f>SUM(E84+BZ84+CS84)</f>
        <v>871300</v>
      </c>
      <c r="E84" s="19">
        <f>SUM(F84+BA84)</f>
        <v>868577</v>
      </c>
      <c r="F84" s="19">
        <f>SUM(G84+H84+I84+P84+S84+T84+U84+AE84+AD84)</f>
        <v>868577</v>
      </c>
      <c r="G84" s="23">
        <v>592230</v>
      </c>
      <c r="H84" s="23">
        <v>135890</v>
      </c>
      <c r="I84" s="19">
        <f t="shared" si="110"/>
        <v>65409</v>
      </c>
      <c r="J84" s="23">
        <v>0</v>
      </c>
      <c r="K84" s="23">
        <v>0</v>
      </c>
      <c r="L84" s="23">
        <v>0</v>
      </c>
      <c r="M84" s="23">
        <v>0</v>
      </c>
      <c r="N84" s="23">
        <v>65409</v>
      </c>
      <c r="O84" s="23"/>
      <c r="P84" s="19">
        <f t="shared" si="111"/>
        <v>0</v>
      </c>
      <c r="Q84" s="19">
        <v>0</v>
      </c>
      <c r="R84" s="19">
        <v>0</v>
      </c>
      <c r="S84" s="19">
        <v>0</v>
      </c>
      <c r="T84" s="23">
        <v>16349</v>
      </c>
      <c r="U84" s="19">
        <f t="shared" si="146"/>
        <v>1277</v>
      </c>
      <c r="V84" s="24"/>
      <c r="W84" s="23">
        <v>0</v>
      </c>
      <c r="X84" s="23">
        <v>1277</v>
      </c>
      <c r="Y84" s="23">
        <v>0</v>
      </c>
      <c r="Z84" s="23">
        <v>0</v>
      </c>
      <c r="AA84" s="24"/>
      <c r="AB84" s="24"/>
      <c r="AC84" s="24"/>
      <c r="AD84" s="19">
        <v>0</v>
      </c>
      <c r="AE84" s="19">
        <f>SUM(AF84:AZ84)</f>
        <v>57422</v>
      </c>
      <c r="AF84" s="23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2522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23">
        <v>54900</v>
      </c>
      <c r="AY84" s="23">
        <v>0</v>
      </c>
      <c r="AZ84" s="23">
        <v>0</v>
      </c>
      <c r="BA84" s="19">
        <f>SUM(BB84+BF84+BI84+BK84+BN84)</f>
        <v>0</v>
      </c>
      <c r="BB84" s="19">
        <f>SUM(BC84:BE84)</f>
        <v>0</v>
      </c>
      <c r="BC84" s="19">
        <v>0</v>
      </c>
      <c r="BD84" s="19">
        <v>0</v>
      </c>
      <c r="BE84" s="19">
        <v>0</v>
      </c>
      <c r="BF84" s="19">
        <f>SUM(BH84:BH84)</f>
        <v>0</v>
      </c>
      <c r="BG84" s="19">
        <v>0</v>
      </c>
      <c r="BH84" s="19">
        <v>0</v>
      </c>
      <c r="BI84" s="19">
        <v>0</v>
      </c>
      <c r="BJ84" s="19">
        <v>0</v>
      </c>
      <c r="BK84" s="19">
        <f t="shared" si="112"/>
        <v>0</v>
      </c>
      <c r="BL84" s="19">
        <v>0</v>
      </c>
      <c r="BM84" s="19">
        <v>0</v>
      </c>
      <c r="BN84" s="19">
        <f>SUM(BO84:BY84)</f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>
        <v>0</v>
      </c>
      <c r="BZ84" s="19">
        <f>SUM(CA84+CO84)</f>
        <v>2723</v>
      </c>
      <c r="CA84" s="19">
        <f>SUM(CB84+CE84+CK84)</f>
        <v>2723</v>
      </c>
      <c r="CB84" s="19">
        <f t="shared" si="113"/>
        <v>2723</v>
      </c>
      <c r="CC84" s="19">
        <v>0</v>
      </c>
      <c r="CD84" s="23">
        <v>2723</v>
      </c>
      <c r="CE84" s="19">
        <f>SUM(CF84:CJ84)</f>
        <v>0</v>
      </c>
      <c r="CF84" s="19">
        <v>0</v>
      </c>
      <c r="CG84" s="19">
        <v>0</v>
      </c>
      <c r="CH84" s="19">
        <v>0</v>
      </c>
      <c r="CI84" s="19">
        <v>0</v>
      </c>
      <c r="CJ84" s="19">
        <v>0</v>
      </c>
      <c r="CK84" s="19">
        <f>SUM(CL84:CN84)</f>
        <v>0</v>
      </c>
      <c r="CL84" s="19">
        <v>0</v>
      </c>
      <c r="CM84" s="19">
        <v>0</v>
      </c>
      <c r="CN84" s="19"/>
      <c r="CO84" s="19">
        <v>0</v>
      </c>
      <c r="CP84" s="75"/>
      <c r="CQ84" s="75"/>
      <c r="CR84" s="75"/>
      <c r="CS84" s="19">
        <f t="shared" si="114"/>
        <v>0</v>
      </c>
      <c r="CT84" s="19">
        <f t="shared" si="115"/>
        <v>0</v>
      </c>
      <c r="CU84" s="19">
        <v>0</v>
      </c>
      <c r="CV84" s="20">
        <v>0</v>
      </c>
      <c r="CW84" s="52"/>
    </row>
    <row r="85" spans="1:101" s="58" customFormat="1" ht="31.2" x14ac:dyDescent="0.3">
      <c r="A85" s="104" t="s">
        <v>160</v>
      </c>
      <c r="B85" s="16" t="s">
        <v>1</v>
      </c>
      <c r="C85" s="17" t="s">
        <v>495</v>
      </c>
      <c r="D85" s="18">
        <f t="shared" ref="D85:AI85" si="147">SUM(D86:D92)</f>
        <v>13960095</v>
      </c>
      <c r="E85" s="18">
        <f t="shared" si="147"/>
        <v>13960095</v>
      </c>
      <c r="F85" s="18">
        <f t="shared" si="147"/>
        <v>13960095</v>
      </c>
      <c r="G85" s="18">
        <f t="shared" si="147"/>
        <v>296421</v>
      </c>
      <c r="H85" s="18">
        <f t="shared" si="147"/>
        <v>68621</v>
      </c>
      <c r="I85" s="18">
        <f t="shared" si="147"/>
        <v>0</v>
      </c>
      <c r="J85" s="18">
        <f t="shared" si="147"/>
        <v>0</v>
      </c>
      <c r="K85" s="18">
        <f t="shared" si="147"/>
        <v>0</v>
      </c>
      <c r="L85" s="18">
        <f t="shared" si="147"/>
        <v>0</v>
      </c>
      <c r="M85" s="18">
        <f t="shared" si="147"/>
        <v>0</v>
      </c>
      <c r="N85" s="18">
        <f t="shared" si="147"/>
        <v>0</v>
      </c>
      <c r="O85" s="18">
        <f t="shared" si="147"/>
        <v>0</v>
      </c>
      <c r="P85" s="18">
        <f t="shared" si="147"/>
        <v>0</v>
      </c>
      <c r="Q85" s="18">
        <f t="shared" si="147"/>
        <v>0</v>
      </c>
      <c r="R85" s="18">
        <f t="shared" si="147"/>
        <v>0</v>
      </c>
      <c r="S85" s="18">
        <f t="shared" si="147"/>
        <v>0</v>
      </c>
      <c r="T85" s="18">
        <f t="shared" si="147"/>
        <v>0</v>
      </c>
      <c r="U85" s="18">
        <f t="shared" si="147"/>
        <v>0</v>
      </c>
      <c r="V85" s="18">
        <f t="shared" si="147"/>
        <v>0</v>
      </c>
      <c r="W85" s="18">
        <f t="shared" si="147"/>
        <v>0</v>
      </c>
      <c r="X85" s="18">
        <f t="shared" si="147"/>
        <v>0</v>
      </c>
      <c r="Y85" s="18">
        <f t="shared" si="147"/>
        <v>0</v>
      </c>
      <c r="Z85" s="18">
        <f t="shared" si="147"/>
        <v>0</v>
      </c>
      <c r="AA85" s="18">
        <f t="shared" si="147"/>
        <v>0</v>
      </c>
      <c r="AB85" s="18">
        <f t="shared" si="147"/>
        <v>0</v>
      </c>
      <c r="AC85" s="18">
        <f t="shared" si="147"/>
        <v>0</v>
      </c>
      <c r="AD85" s="18">
        <f t="shared" si="147"/>
        <v>0</v>
      </c>
      <c r="AE85" s="18">
        <f t="shared" si="147"/>
        <v>13595053</v>
      </c>
      <c r="AF85" s="18">
        <f t="shared" si="147"/>
        <v>0</v>
      </c>
      <c r="AG85" s="18">
        <f t="shared" si="147"/>
        <v>13595053</v>
      </c>
      <c r="AH85" s="18">
        <f t="shared" si="147"/>
        <v>0</v>
      </c>
      <c r="AI85" s="18">
        <f t="shared" si="147"/>
        <v>0</v>
      </c>
      <c r="AJ85" s="18">
        <f t="shared" ref="AJ85:BO85" si="148">SUM(AJ86:AJ92)</f>
        <v>0</v>
      </c>
      <c r="AK85" s="18">
        <f t="shared" si="148"/>
        <v>0</v>
      </c>
      <c r="AL85" s="18">
        <f t="shared" si="148"/>
        <v>0</v>
      </c>
      <c r="AM85" s="18">
        <f t="shared" si="148"/>
        <v>0</v>
      </c>
      <c r="AN85" s="18">
        <f t="shared" si="148"/>
        <v>0</v>
      </c>
      <c r="AO85" s="18">
        <f t="shared" si="148"/>
        <v>0</v>
      </c>
      <c r="AP85" s="18">
        <f t="shared" si="148"/>
        <v>0</v>
      </c>
      <c r="AQ85" s="18">
        <f t="shared" si="148"/>
        <v>0</v>
      </c>
      <c r="AR85" s="18">
        <f t="shared" si="148"/>
        <v>0</v>
      </c>
      <c r="AS85" s="18">
        <f t="shared" si="148"/>
        <v>0</v>
      </c>
      <c r="AT85" s="18">
        <f t="shared" si="148"/>
        <v>0</v>
      </c>
      <c r="AU85" s="18">
        <f t="shared" si="148"/>
        <v>0</v>
      </c>
      <c r="AV85" s="18">
        <f t="shared" si="148"/>
        <v>0</v>
      </c>
      <c r="AW85" s="18">
        <f t="shared" si="148"/>
        <v>0</v>
      </c>
      <c r="AX85" s="18">
        <f t="shared" si="148"/>
        <v>0</v>
      </c>
      <c r="AY85" s="18">
        <f t="shared" si="148"/>
        <v>0</v>
      </c>
      <c r="AZ85" s="18">
        <f t="shared" si="148"/>
        <v>0</v>
      </c>
      <c r="BA85" s="18">
        <f t="shared" si="148"/>
        <v>0</v>
      </c>
      <c r="BB85" s="18">
        <f t="shared" si="148"/>
        <v>0</v>
      </c>
      <c r="BC85" s="18">
        <f t="shared" si="148"/>
        <v>0</v>
      </c>
      <c r="BD85" s="18">
        <f t="shared" si="148"/>
        <v>0</v>
      </c>
      <c r="BE85" s="18">
        <f t="shared" si="148"/>
        <v>0</v>
      </c>
      <c r="BF85" s="18">
        <f t="shared" si="148"/>
        <v>0</v>
      </c>
      <c r="BG85" s="18">
        <f t="shared" si="148"/>
        <v>0</v>
      </c>
      <c r="BH85" s="18">
        <f t="shared" si="148"/>
        <v>0</v>
      </c>
      <c r="BI85" s="18">
        <f t="shared" si="148"/>
        <v>0</v>
      </c>
      <c r="BJ85" s="18">
        <f t="shared" si="148"/>
        <v>0</v>
      </c>
      <c r="BK85" s="18">
        <f t="shared" si="148"/>
        <v>0</v>
      </c>
      <c r="BL85" s="18">
        <f t="shared" si="148"/>
        <v>0</v>
      </c>
      <c r="BM85" s="18">
        <f t="shared" si="148"/>
        <v>0</v>
      </c>
      <c r="BN85" s="18">
        <f t="shared" si="148"/>
        <v>0</v>
      </c>
      <c r="BO85" s="18">
        <f t="shared" si="148"/>
        <v>0</v>
      </c>
      <c r="BP85" s="18">
        <f t="shared" ref="BP85:CV85" si="149">SUM(BP86:BP92)</f>
        <v>0</v>
      </c>
      <c r="BQ85" s="18">
        <f t="shared" si="149"/>
        <v>0</v>
      </c>
      <c r="BR85" s="18">
        <f t="shared" si="149"/>
        <v>0</v>
      </c>
      <c r="BS85" s="18">
        <f t="shared" si="149"/>
        <v>0</v>
      </c>
      <c r="BT85" s="18">
        <f t="shared" si="149"/>
        <v>0</v>
      </c>
      <c r="BU85" s="18">
        <f t="shared" si="149"/>
        <v>0</v>
      </c>
      <c r="BV85" s="18">
        <f t="shared" si="149"/>
        <v>0</v>
      </c>
      <c r="BW85" s="18">
        <f t="shared" si="149"/>
        <v>0</v>
      </c>
      <c r="BX85" s="18">
        <f t="shared" si="149"/>
        <v>0</v>
      </c>
      <c r="BY85" s="18">
        <f t="shared" si="149"/>
        <v>0</v>
      </c>
      <c r="BZ85" s="18">
        <f t="shared" si="149"/>
        <v>0</v>
      </c>
      <c r="CA85" s="18">
        <f t="shared" si="149"/>
        <v>0</v>
      </c>
      <c r="CB85" s="18">
        <f t="shared" si="149"/>
        <v>0</v>
      </c>
      <c r="CC85" s="18">
        <f t="shared" si="149"/>
        <v>0</v>
      </c>
      <c r="CD85" s="18">
        <f t="shared" si="149"/>
        <v>0</v>
      </c>
      <c r="CE85" s="18">
        <f t="shared" si="149"/>
        <v>0</v>
      </c>
      <c r="CF85" s="18">
        <f t="shared" si="149"/>
        <v>0</v>
      </c>
      <c r="CG85" s="18">
        <f t="shared" si="149"/>
        <v>0</v>
      </c>
      <c r="CH85" s="18">
        <f t="shared" si="149"/>
        <v>0</v>
      </c>
      <c r="CI85" s="18">
        <f t="shared" si="149"/>
        <v>0</v>
      </c>
      <c r="CJ85" s="18">
        <f t="shared" si="149"/>
        <v>0</v>
      </c>
      <c r="CK85" s="18">
        <f t="shared" si="149"/>
        <v>0</v>
      </c>
      <c r="CL85" s="18">
        <f t="shared" si="149"/>
        <v>0</v>
      </c>
      <c r="CM85" s="18">
        <f t="shared" si="149"/>
        <v>0</v>
      </c>
      <c r="CN85" s="18">
        <f t="shared" si="149"/>
        <v>0</v>
      </c>
      <c r="CO85" s="18">
        <f t="shared" si="149"/>
        <v>0</v>
      </c>
      <c r="CP85" s="74"/>
      <c r="CQ85" s="74"/>
      <c r="CR85" s="74"/>
      <c r="CS85" s="18">
        <f t="shared" si="149"/>
        <v>0</v>
      </c>
      <c r="CT85" s="18">
        <f t="shared" si="149"/>
        <v>0</v>
      </c>
      <c r="CU85" s="18">
        <f t="shared" si="149"/>
        <v>0</v>
      </c>
      <c r="CV85" s="46">
        <f t="shared" si="149"/>
        <v>0</v>
      </c>
      <c r="CW85" s="57"/>
    </row>
    <row r="86" spans="1:101" ht="15.6" x14ac:dyDescent="0.3">
      <c r="A86" s="105" t="s">
        <v>1</v>
      </c>
      <c r="B86" s="21" t="s">
        <v>58</v>
      </c>
      <c r="C86" s="22" t="s">
        <v>329</v>
      </c>
      <c r="D86" s="19">
        <f t="shared" ref="D86:D92" si="150">SUM(E86+BZ86+CS86)</f>
        <v>502252</v>
      </c>
      <c r="E86" s="19">
        <f t="shared" ref="E86:E92" si="151">SUM(F86+BA86)</f>
        <v>502252</v>
      </c>
      <c r="F86" s="19">
        <f t="shared" ref="F86:F92" si="152">SUM(G86+H86+I86+P86+S86+T86+U86+AE86+AD86)</f>
        <v>502252</v>
      </c>
      <c r="G86" s="19">
        <v>0</v>
      </c>
      <c r="H86" s="19">
        <v>0</v>
      </c>
      <c r="I86" s="19">
        <f>SUM(J86:O86)</f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f>SUM(Q86:R86)</f>
        <v>0</v>
      </c>
      <c r="Q86" s="19">
        <v>0</v>
      </c>
      <c r="R86" s="19">
        <v>0</v>
      </c>
      <c r="S86" s="19">
        <v>0</v>
      </c>
      <c r="T86" s="19">
        <v>0</v>
      </c>
      <c r="U86" s="19">
        <f t="shared" ref="U86:U92" si="153">SUM(V86:AC86)</f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f t="shared" ref="AE86:AE92" si="154">SUM(AF86:AZ86)</f>
        <v>502252</v>
      </c>
      <c r="AF86" s="24">
        <v>0</v>
      </c>
      <c r="AG86" s="23">
        <v>502252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f t="shared" ref="BA86:BA92" si="155">SUM(BB86+BF86+BI86+BK86+BN86)</f>
        <v>0</v>
      </c>
      <c r="BB86" s="19">
        <f t="shared" ref="BB86:BB92" si="156">SUM(BC86:BE86)</f>
        <v>0</v>
      </c>
      <c r="BC86" s="19">
        <v>0</v>
      </c>
      <c r="BD86" s="19">
        <v>0</v>
      </c>
      <c r="BE86" s="19">
        <v>0</v>
      </c>
      <c r="BF86" s="19">
        <f t="shared" ref="BF86:BF92" si="157">SUM(BH86:BH86)</f>
        <v>0</v>
      </c>
      <c r="BG86" s="19">
        <v>0</v>
      </c>
      <c r="BH86" s="19">
        <v>0</v>
      </c>
      <c r="BI86" s="19">
        <v>0</v>
      </c>
      <c r="BJ86" s="19">
        <v>0</v>
      </c>
      <c r="BK86" s="19">
        <f>SUM(BL86)</f>
        <v>0</v>
      </c>
      <c r="BL86" s="19">
        <v>0</v>
      </c>
      <c r="BM86" s="19">
        <v>0</v>
      </c>
      <c r="BN86" s="19">
        <f t="shared" ref="BN86:BN92" si="158">SUM(BO86:BY86)</f>
        <v>0</v>
      </c>
      <c r="BO86" s="19">
        <v>0</v>
      </c>
      <c r="BP86" s="19">
        <v>0</v>
      </c>
      <c r="BQ86" s="19">
        <v>0</v>
      </c>
      <c r="BR86" s="19">
        <v>0</v>
      </c>
      <c r="BS86" s="19">
        <v>0</v>
      </c>
      <c r="BT86" s="19">
        <v>0</v>
      </c>
      <c r="BU86" s="19">
        <v>0</v>
      </c>
      <c r="BV86" s="19">
        <v>0</v>
      </c>
      <c r="BW86" s="19">
        <v>0</v>
      </c>
      <c r="BX86" s="19">
        <v>0</v>
      </c>
      <c r="BY86" s="19">
        <v>0</v>
      </c>
      <c r="BZ86" s="19">
        <f t="shared" ref="BZ86:BZ92" si="159">SUM(CA86+CO86)</f>
        <v>0</v>
      </c>
      <c r="CA86" s="19">
        <f t="shared" ref="CA86:CA92" si="160">SUM(CB86+CE86+CK86)</f>
        <v>0</v>
      </c>
      <c r="CB86" s="19">
        <f>SUM(CC86:CD86)</f>
        <v>0</v>
      </c>
      <c r="CC86" s="19">
        <v>0</v>
      </c>
      <c r="CD86" s="19">
        <v>0</v>
      </c>
      <c r="CE86" s="19">
        <f t="shared" ref="CE86:CE92" si="161">SUM(CF86:CJ86)</f>
        <v>0</v>
      </c>
      <c r="CF86" s="19">
        <v>0</v>
      </c>
      <c r="CG86" s="19">
        <v>0</v>
      </c>
      <c r="CH86" s="19">
        <v>0</v>
      </c>
      <c r="CI86" s="19">
        <v>0</v>
      </c>
      <c r="CJ86" s="19">
        <v>0</v>
      </c>
      <c r="CK86" s="19">
        <f t="shared" ref="CK86:CK92" si="162">SUM(CL86:CN86)</f>
        <v>0</v>
      </c>
      <c r="CL86" s="19">
        <v>0</v>
      </c>
      <c r="CM86" s="19">
        <v>0</v>
      </c>
      <c r="CN86" s="19"/>
      <c r="CO86" s="19">
        <v>0</v>
      </c>
      <c r="CP86" s="75"/>
      <c r="CQ86" s="75"/>
      <c r="CR86" s="75"/>
      <c r="CS86" s="19">
        <f>SUM(CT86)</f>
        <v>0</v>
      </c>
      <c r="CT86" s="19">
        <f>SUM(CU86:CV86)</f>
        <v>0</v>
      </c>
      <c r="CU86" s="19">
        <v>0</v>
      </c>
      <c r="CV86" s="20">
        <v>0</v>
      </c>
      <c r="CW86" s="52"/>
    </row>
    <row r="87" spans="1:101" ht="15.6" x14ac:dyDescent="0.3">
      <c r="A87" s="105" t="s">
        <v>1</v>
      </c>
      <c r="B87" s="21" t="s">
        <v>60</v>
      </c>
      <c r="C87" s="22" t="s">
        <v>161</v>
      </c>
      <c r="D87" s="19">
        <f t="shared" si="150"/>
        <v>3641043</v>
      </c>
      <c r="E87" s="19">
        <f t="shared" si="151"/>
        <v>3641043</v>
      </c>
      <c r="F87" s="19">
        <f t="shared" si="152"/>
        <v>3641043</v>
      </c>
      <c r="G87" s="19">
        <v>0</v>
      </c>
      <c r="H87" s="19">
        <v>0</v>
      </c>
      <c r="I87" s="19">
        <f>SUM(J87:O87)</f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f>SUM(Q87:R87)</f>
        <v>0</v>
      </c>
      <c r="Q87" s="19">
        <v>0</v>
      </c>
      <c r="R87" s="19">
        <v>0</v>
      </c>
      <c r="S87" s="19">
        <v>0</v>
      </c>
      <c r="T87" s="19">
        <v>0</v>
      </c>
      <c r="U87" s="19">
        <f t="shared" si="153"/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f t="shared" si="154"/>
        <v>3641043</v>
      </c>
      <c r="AF87" s="24">
        <v>0</v>
      </c>
      <c r="AG87" s="23">
        <v>3641043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f t="shared" si="155"/>
        <v>0</v>
      </c>
      <c r="BB87" s="19">
        <f t="shared" si="156"/>
        <v>0</v>
      </c>
      <c r="BC87" s="19">
        <v>0</v>
      </c>
      <c r="BD87" s="19">
        <v>0</v>
      </c>
      <c r="BE87" s="19">
        <v>0</v>
      </c>
      <c r="BF87" s="19">
        <f t="shared" si="157"/>
        <v>0</v>
      </c>
      <c r="BG87" s="19">
        <v>0</v>
      </c>
      <c r="BH87" s="19">
        <v>0</v>
      </c>
      <c r="BI87" s="19">
        <v>0</v>
      </c>
      <c r="BJ87" s="19">
        <v>0</v>
      </c>
      <c r="BK87" s="19">
        <f>SUM(BL87)</f>
        <v>0</v>
      </c>
      <c r="BL87" s="19">
        <v>0</v>
      </c>
      <c r="BM87" s="19">
        <v>0</v>
      </c>
      <c r="BN87" s="19">
        <f t="shared" si="158"/>
        <v>0</v>
      </c>
      <c r="BO87" s="19">
        <v>0</v>
      </c>
      <c r="BP87" s="19">
        <v>0</v>
      </c>
      <c r="BQ87" s="19">
        <v>0</v>
      </c>
      <c r="BR87" s="19">
        <v>0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0</v>
      </c>
      <c r="BY87" s="19">
        <v>0</v>
      </c>
      <c r="BZ87" s="19">
        <f t="shared" si="159"/>
        <v>0</v>
      </c>
      <c r="CA87" s="19">
        <f t="shared" si="160"/>
        <v>0</v>
      </c>
      <c r="CB87" s="19">
        <f>SUM(CC87:CD87)</f>
        <v>0</v>
      </c>
      <c r="CC87" s="19">
        <v>0</v>
      </c>
      <c r="CD87" s="19">
        <v>0</v>
      </c>
      <c r="CE87" s="19">
        <f t="shared" si="161"/>
        <v>0</v>
      </c>
      <c r="CF87" s="19">
        <v>0</v>
      </c>
      <c r="CG87" s="19">
        <v>0</v>
      </c>
      <c r="CH87" s="19">
        <v>0</v>
      </c>
      <c r="CI87" s="19">
        <v>0</v>
      </c>
      <c r="CJ87" s="19">
        <v>0</v>
      </c>
      <c r="CK87" s="19">
        <f t="shared" si="162"/>
        <v>0</v>
      </c>
      <c r="CL87" s="19">
        <v>0</v>
      </c>
      <c r="CM87" s="19">
        <v>0</v>
      </c>
      <c r="CN87" s="19"/>
      <c r="CO87" s="19">
        <v>0</v>
      </c>
      <c r="CP87" s="75"/>
      <c r="CQ87" s="75"/>
      <c r="CR87" s="75"/>
      <c r="CS87" s="19">
        <f>SUM(CT87)</f>
        <v>0</v>
      </c>
      <c r="CT87" s="19">
        <f>SUM(CU87:CV87)</f>
        <v>0</v>
      </c>
      <c r="CU87" s="19">
        <v>0</v>
      </c>
      <c r="CV87" s="20">
        <v>0</v>
      </c>
      <c r="CW87" s="52"/>
    </row>
    <row r="88" spans="1:101" ht="31.2" x14ac:dyDescent="0.3">
      <c r="A88" s="105" t="s">
        <v>1</v>
      </c>
      <c r="B88" s="21" t="s">
        <v>126</v>
      </c>
      <c r="C88" s="22" t="s">
        <v>482</v>
      </c>
      <c r="D88" s="19">
        <f t="shared" si="150"/>
        <v>221652</v>
      </c>
      <c r="E88" s="19">
        <f t="shared" si="151"/>
        <v>221652</v>
      </c>
      <c r="F88" s="19">
        <f t="shared" si="152"/>
        <v>221652</v>
      </c>
      <c r="G88" s="19">
        <v>0</v>
      </c>
      <c r="H88" s="19">
        <v>0</v>
      </c>
      <c r="I88" s="19">
        <f t="shared" si="110"/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f t="shared" si="111"/>
        <v>0</v>
      </c>
      <c r="Q88" s="19">
        <v>0</v>
      </c>
      <c r="R88" s="19">
        <v>0</v>
      </c>
      <c r="S88" s="19">
        <v>0</v>
      </c>
      <c r="T88" s="19">
        <v>0</v>
      </c>
      <c r="U88" s="19">
        <f t="shared" si="153"/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f t="shared" si="154"/>
        <v>221652</v>
      </c>
      <c r="AF88" s="24">
        <v>0</v>
      </c>
      <c r="AG88" s="23">
        <v>221652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f t="shared" si="155"/>
        <v>0</v>
      </c>
      <c r="BB88" s="19">
        <f t="shared" si="156"/>
        <v>0</v>
      </c>
      <c r="BC88" s="19">
        <v>0</v>
      </c>
      <c r="BD88" s="19">
        <v>0</v>
      </c>
      <c r="BE88" s="19">
        <v>0</v>
      </c>
      <c r="BF88" s="19">
        <f t="shared" si="157"/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f t="shared" si="112"/>
        <v>0</v>
      </c>
      <c r="BL88" s="19">
        <v>0</v>
      </c>
      <c r="BM88" s="19">
        <v>0</v>
      </c>
      <c r="BN88" s="19">
        <f t="shared" si="158"/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f t="shared" si="159"/>
        <v>0</v>
      </c>
      <c r="CA88" s="19">
        <f t="shared" si="160"/>
        <v>0</v>
      </c>
      <c r="CB88" s="19">
        <f t="shared" si="113"/>
        <v>0</v>
      </c>
      <c r="CC88" s="19">
        <v>0</v>
      </c>
      <c r="CD88" s="19">
        <v>0</v>
      </c>
      <c r="CE88" s="19">
        <f t="shared" si="161"/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19">
        <f t="shared" si="162"/>
        <v>0</v>
      </c>
      <c r="CL88" s="19">
        <v>0</v>
      </c>
      <c r="CM88" s="19">
        <v>0</v>
      </c>
      <c r="CN88" s="19"/>
      <c r="CO88" s="19">
        <v>0</v>
      </c>
      <c r="CP88" s="75"/>
      <c r="CQ88" s="75"/>
      <c r="CR88" s="75"/>
      <c r="CS88" s="19">
        <f t="shared" si="114"/>
        <v>0</v>
      </c>
      <c r="CT88" s="19">
        <f t="shared" si="115"/>
        <v>0</v>
      </c>
      <c r="CU88" s="19">
        <v>0</v>
      </c>
      <c r="CV88" s="20">
        <v>0</v>
      </c>
      <c r="CW88" s="52"/>
    </row>
    <row r="89" spans="1:101" ht="31.2" x14ac:dyDescent="0.3">
      <c r="A89" s="108"/>
      <c r="B89" s="42" t="s">
        <v>64</v>
      </c>
      <c r="C89" s="43" t="s">
        <v>559</v>
      </c>
      <c r="D89" s="39">
        <f t="shared" si="150"/>
        <v>1507820</v>
      </c>
      <c r="E89" s="39">
        <f t="shared" si="151"/>
        <v>1507820</v>
      </c>
      <c r="F89" s="39">
        <f t="shared" ref="F89" si="163">SUM(G89+H89+I89+P89+S89+T89+U89+AE89+AD89)</f>
        <v>1507820</v>
      </c>
      <c r="G89" s="35">
        <v>0</v>
      </c>
      <c r="H89" s="35">
        <v>0</v>
      </c>
      <c r="I89" s="39">
        <f t="shared" ref="I89" si="164">SUM(J89:O89)</f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9">
        <f t="shared" ref="P89" si="165">SUM(Q89:R89)</f>
        <v>0</v>
      </c>
      <c r="Q89" s="39">
        <v>0</v>
      </c>
      <c r="R89" s="39">
        <v>0</v>
      </c>
      <c r="S89" s="39">
        <v>0</v>
      </c>
      <c r="T89" s="39">
        <v>0</v>
      </c>
      <c r="U89" s="39">
        <f t="shared" ref="U89" si="166">SUM(V89:AC89)</f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39">
        <f t="shared" si="154"/>
        <v>1507820</v>
      </c>
      <c r="AF89" s="40">
        <v>0</v>
      </c>
      <c r="AG89" s="35">
        <v>1507820</v>
      </c>
      <c r="AH89" s="39">
        <v>0</v>
      </c>
      <c r="AI89" s="39">
        <v>0</v>
      </c>
      <c r="AJ89" s="39">
        <v>0</v>
      </c>
      <c r="AK89" s="39">
        <v>0</v>
      </c>
      <c r="AL89" s="39">
        <v>0</v>
      </c>
      <c r="AM89" s="39">
        <v>0</v>
      </c>
      <c r="AN89" s="39">
        <v>0</v>
      </c>
      <c r="AO89" s="39">
        <v>0</v>
      </c>
      <c r="AP89" s="39">
        <v>0</v>
      </c>
      <c r="AQ89" s="39">
        <v>0</v>
      </c>
      <c r="AR89" s="39">
        <v>0</v>
      </c>
      <c r="AS89" s="39">
        <v>0</v>
      </c>
      <c r="AT89" s="39">
        <v>0</v>
      </c>
      <c r="AU89" s="39">
        <v>0</v>
      </c>
      <c r="AV89" s="39">
        <v>0</v>
      </c>
      <c r="AW89" s="39">
        <v>0</v>
      </c>
      <c r="AX89" s="39">
        <v>0</v>
      </c>
      <c r="AY89" s="39">
        <v>0</v>
      </c>
      <c r="AZ89" s="39">
        <v>0</v>
      </c>
      <c r="BA89" s="39">
        <f t="shared" si="155"/>
        <v>0</v>
      </c>
      <c r="BB89" s="39">
        <f t="shared" ref="BB89" si="167">SUM(BC89:BE89)</f>
        <v>0</v>
      </c>
      <c r="BC89" s="39">
        <v>0</v>
      </c>
      <c r="BD89" s="39">
        <v>0</v>
      </c>
      <c r="BE89" s="39">
        <v>0</v>
      </c>
      <c r="BF89" s="39">
        <f t="shared" si="157"/>
        <v>0</v>
      </c>
      <c r="BG89" s="39">
        <v>0</v>
      </c>
      <c r="BH89" s="39">
        <v>0</v>
      </c>
      <c r="BI89" s="39">
        <v>0</v>
      </c>
      <c r="BJ89" s="39">
        <v>0</v>
      </c>
      <c r="BK89" s="39">
        <f t="shared" ref="BK89" si="168">SUM(BL89)</f>
        <v>0</v>
      </c>
      <c r="BL89" s="39">
        <v>0</v>
      </c>
      <c r="BM89" s="39">
        <v>0</v>
      </c>
      <c r="BN89" s="39">
        <f t="shared" si="158"/>
        <v>0</v>
      </c>
      <c r="BO89" s="39">
        <v>0</v>
      </c>
      <c r="BP89" s="39">
        <v>0</v>
      </c>
      <c r="BQ89" s="39">
        <v>0</v>
      </c>
      <c r="BR89" s="39">
        <v>0</v>
      </c>
      <c r="BS89" s="39">
        <v>0</v>
      </c>
      <c r="BT89" s="39">
        <v>0</v>
      </c>
      <c r="BU89" s="39">
        <v>0</v>
      </c>
      <c r="BV89" s="39">
        <v>0</v>
      </c>
      <c r="BW89" s="39">
        <v>0</v>
      </c>
      <c r="BX89" s="39">
        <v>0</v>
      </c>
      <c r="BY89" s="39">
        <v>0</v>
      </c>
      <c r="BZ89" s="39">
        <f t="shared" si="159"/>
        <v>0</v>
      </c>
      <c r="CA89" s="39">
        <f t="shared" si="160"/>
        <v>0</v>
      </c>
      <c r="CB89" s="39">
        <f t="shared" ref="CB89" si="169">SUM(CC89:CD89)</f>
        <v>0</v>
      </c>
      <c r="CC89" s="39">
        <v>0</v>
      </c>
      <c r="CD89" s="39">
        <v>0</v>
      </c>
      <c r="CE89" s="19">
        <f t="shared" si="161"/>
        <v>0</v>
      </c>
      <c r="CF89" s="39">
        <v>0</v>
      </c>
      <c r="CG89" s="39">
        <v>0</v>
      </c>
      <c r="CH89" s="39">
        <v>0</v>
      </c>
      <c r="CI89" s="39">
        <v>0</v>
      </c>
      <c r="CJ89" s="39">
        <v>0</v>
      </c>
      <c r="CK89" s="39">
        <f t="shared" si="162"/>
        <v>0</v>
      </c>
      <c r="CL89" s="39">
        <v>0</v>
      </c>
      <c r="CM89" s="39">
        <v>0</v>
      </c>
      <c r="CN89" s="39"/>
      <c r="CO89" s="39">
        <v>0</v>
      </c>
      <c r="CP89" s="75"/>
      <c r="CQ89" s="75"/>
      <c r="CR89" s="75"/>
      <c r="CS89" s="39">
        <f t="shared" ref="CS89" si="170">SUM(CT89)</f>
        <v>0</v>
      </c>
      <c r="CT89" s="39">
        <f t="shared" ref="CT89" si="171">SUM(CU89:CV89)</f>
        <v>0</v>
      </c>
      <c r="CU89" s="39">
        <v>0</v>
      </c>
      <c r="CV89" s="41">
        <v>0</v>
      </c>
      <c r="CW89" s="52"/>
    </row>
    <row r="90" spans="1:101" ht="31.2" x14ac:dyDescent="0.3">
      <c r="A90" s="108" t="s">
        <v>1</v>
      </c>
      <c r="B90" s="42" t="s">
        <v>66</v>
      </c>
      <c r="C90" s="43" t="s">
        <v>445</v>
      </c>
      <c r="D90" s="39">
        <f t="shared" si="150"/>
        <v>7494550</v>
      </c>
      <c r="E90" s="39">
        <f t="shared" si="151"/>
        <v>7494550</v>
      </c>
      <c r="F90" s="39">
        <f t="shared" si="152"/>
        <v>7494550</v>
      </c>
      <c r="G90" s="35">
        <v>0</v>
      </c>
      <c r="H90" s="35">
        <v>0</v>
      </c>
      <c r="I90" s="39">
        <f t="shared" si="110"/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9">
        <f t="shared" si="111"/>
        <v>0</v>
      </c>
      <c r="Q90" s="39">
        <v>0</v>
      </c>
      <c r="R90" s="39">
        <v>0</v>
      </c>
      <c r="S90" s="39">
        <v>0</v>
      </c>
      <c r="T90" s="39">
        <v>0</v>
      </c>
      <c r="U90" s="39">
        <f t="shared" si="153"/>
        <v>0</v>
      </c>
      <c r="V90" s="39">
        <v>0</v>
      </c>
      <c r="W90" s="39">
        <v>0</v>
      </c>
      <c r="X90" s="39">
        <v>0</v>
      </c>
      <c r="Y90" s="39">
        <v>0</v>
      </c>
      <c r="Z90" s="39">
        <v>0</v>
      </c>
      <c r="AA90" s="39">
        <v>0</v>
      </c>
      <c r="AB90" s="39">
        <v>0</v>
      </c>
      <c r="AC90" s="39">
        <v>0</v>
      </c>
      <c r="AD90" s="39">
        <v>0</v>
      </c>
      <c r="AE90" s="39">
        <f t="shared" si="154"/>
        <v>7494550</v>
      </c>
      <c r="AF90" s="40">
        <v>0</v>
      </c>
      <c r="AG90" s="35">
        <v>7494550</v>
      </c>
      <c r="AH90" s="39">
        <v>0</v>
      </c>
      <c r="AI90" s="39">
        <v>0</v>
      </c>
      <c r="AJ90" s="39">
        <v>0</v>
      </c>
      <c r="AK90" s="39">
        <v>0</v>
      </c>
      <c r="AL90" s="39">
        <v>0</v>
      </c>
      <c r="AM90" s="39">
        <v>0</v>
      </c>
      <c r="AN90" s="39">
        <v>0</v>
      </c>
      <c r="AO90" s="39">
        <v>0</v>
      </c>
      <c r="AP90" s="39">
        <v>0</v>
      </c>
      <c r="AQ90" s="39">
        <v>0</v>
      </c>
      <c r="AR90" s="39">
        <v>0</v>
      </c>
      <c r="AS90" s="39">
        <v>0</v>
      </c>
      <c r="AT90" s="39">
        <v>0</v>
      </c>
      <c r="AU90" s="39">
        <v>0</v>
      </c>
      <c r="AV90" s="39">
        <v>0</v>
      </c>
      <c r="AW90" s="39">
        <v>0</v>
      </c>
      <c r="AX90" s="39">
        <v>0</v>
      </c>
      <c r="AY90" s="39">
        <v>0</v>
      </c>
      <c r="AZ90" s="39">
        <v>0</v>
      </c>
      <c r="BA90" s="39">
        <f t="shared" si="155"/>
        <v>0</v>
      </c>
      <c r="BB90" s="39">
        <f t="shared" si="156"/>
        <v>0</v>
      </c>
      <c r="BC90" s="39">
        <v>0</v>
      </c>
      <c r="BD90" s="39">
        <v>0</v>
      </c>
      <c r="BE90" s="39">
        <v>0</v>
      </c>
      <c r="BF90" s="39">
        <f t="shared" si="157"/>
        <v>0</v>
      </c>
      <c r="BG90" s="39">
        <v>0</v>
      </c>
      <c r="BH90" s="39">
        <v>0</v>
      </c>
      <c r="BI90" s="39">
        <v>0</v>
      </c>
      <c r="BJ90" s="39">
        <v>0</v>
      </c>
      <c r="BK90" s="39">
        <f t="shared" si="112"/>
        <v>0</v>
      </c>
      <c r="BL90" s="39">
        <v>0</v>
      </c>
      <c r="BM90" s="39">
        <v>0</v>
      </c>
      <c r="BN90" s="39">
        <f t="shared" si="158"/>
        <v>0</v>
      </c>
      <c r="BO90" s="39">
        <v>0</v>
      </c>
      <c r="BP90" s="39">
        <v>0</v>
      </c>
      <c r="BQ90" s="39">
        <v>0</v>
      </c>
      <c r="BR90" s="39">
        <v>0</v>
      </c>
      <c r="BS90" s="39">
        <v>0</v>
      </c>
      <c r="BT90" s="39">
        <v>0</v>
      </c>
      <c r="BU90" s="39">
        <v>0</v>
      </c>
      <c r="BV90" s="39">
        <v>0</v>
      </c>
      <c r="BW90" s="39">
        <v>0</v>
      </c>
      <c r="BX90" s="39">
        <v>0</v>
      </c>
      <c r="BY90" s="39">
        <v>0</v>
      </c>
      <c r="BZ90" s="39">
        <f t="shared" si="159"/>
        <v>0</v>
      </c>
      <c r="CA90" s="39">
        <f t="shared" si="160"/>
        <v>0</v>
      </c>
      <c r="CB90" s="39">
        <f t="shared" si="113"/>
        <v>0</v>
      </c>
      <c r="CC90" s="39">
        <v>0</v>
      </c>
      <c r="CD90" s="39">
        <v>0</v>
      </c>
      <c r="CE90" s="19">
        <f t="shared" si="161"/>
        <v>0</v>
      </c>
      <c r="CF90" s="39">
        <v>0</v>
      </c>
      <c r="CG90" s="39">
        <v>0</v>
      </c>
      <c r="CH90" s="39">
        <v>0</v>
      </c>
      <c r="CI90" s="39">
        <v>0</v>
      </c>
      <c r="CJ90" s="39">
        <v>0</v>
      </c>
      <c r="CK90" s="39">
        <f t="shared" si="162"/>
        <v>0</v>
      </c>
      <c r="CL90" s="39">
        <v>0</v>
      </c>
      <c r="CM90" s="39">
        <v>0</v>
      </c>
      <c r="CN90" s="39"/>
      <c r="CO90" s="39">
        <v>0</v>
      </c>
      <c r="CP90" s="75"/>
      <c r="CQ90" s="75"/>
      <c r="CR90" s="75"/>
      <c r="CS90" s="39">
        <f t="shared" si="114"/>
        <v>0</v>
      </c>
      <c r="CT90" s="39">
        <f t="shared" si="115"/>
        <v>0</v>
      </c>
      <c r="CU90" s="39">
        <v>0</v>
      </c>
      <c r="CV90" s="41">
        <v>0</v>
      </c>
      <c r="CW90" s="52"/>
    </row>
    <row r="91" spans="1:101" ht="31.2" x14ac:dyDescent="0.3">
      <c r="A91" s="108" t="s">
        <v>1</v>
      </c>
      <c r="B91" s="36" t="s">
        <v>162</v>
      </c>
      <c r="C91" s="37" t="s">
        <v>330</v>
      </c>
      <c r="D91" s="39">
        <f t="shared" si="150"/>
        <v>365042</v>
      </c>
      <c r="E91" s="39">
        <f t="shared" si="151"/>
        <v>365042</v>
      </c>
      <c r="F91" s="39">
        <f t="shared" si="152"/>
        <v>365042</v>
      </c>
      <c r="G91" s="35">
        <v>296421</v>
      </c>
      <c r="H91" s="35">
        <v>68621</v>
      </c>
      <c r="I91" s="39">
        <f t="shared" si="110"/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/>
      <c r="P91" s="39">
        <f t="shared" si="111"/>
        <v>0</v>
      </c>
      <c r="Q91" s="39">
        <v>0</v>
      </c>
      <c r="R91" s="39"/>
      <c r="S91" s="39">
        <v>0</v>
      </c>
      <c r="T91" s="39">
        <v>0</v>
      </c>
      <c r="U91" s="39">
        <f t="shared" si="153"/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9">
        <v>0</v>
      </c>
      <c r="AE91" s="39">
        <f t="shared" si="154"/>
        <v>0</v>
      </c>
      <c r="AF91" s="40">
        <v>0</v>
      </c>
      <c r="AG91" s="35"/>
      <c r="AH91" s="39">
        <v>0</v>
      </c>
      <c r="AI91" s="39">
        <v>0</v>
      </c>
      <c r="AJ91" s="39">
        <v>0</v>
      </c>
      <c r="AK91" s="39">
        <v>0</v>
      </c>
      <c r="AL91" s="39">
        <v>0</v>
      </c>
      <c r="AM91" s="39">
        <v>0</v>
      </c>
      <c r="AN91" s="39">
        <v>0</v>
      </c>
      <c r="AO91" s="39">
        <v>0</v>
      </c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f t="shared" si="155"/>
        <v>0</v>
      </c>
      <c r="BB91" s="39">
        <f t="shared" si="156"/>
        <v>0</v>
      </c>
      <c r="BC91" s="39">
        <v>0</v>
      </c>
      <c r="BD91" s="39">
        <v>0</v>
      </c>
      <c r="BE91" s="39">
        <v>0</v>
      </c>
      <c r="BF91" s="39">
        <f t="shared" si="157"/>
        <v>0</v>
      </c>
      <c r="BG91" s="39">
        <v>0</v>
      </c>
      <c r="BH91" s="39">
        <v>0</v>
      </c>
      <c r="BI91" s="39">
        <v>0</v>
      </c>
      <c r="BJ91" s="39">
        <v>0</v>
      </c>
      <c r="BK91" s="39">
        <f t="shared" si="112"/>
        <v>0</v>
      </c>
      <c r="BL91" s="39">
        <v>0</v>
      </c>
      <c r="BM91" s="39">
        <v>0</v>
      </c>
      <c r="BN91" s="39">
        <f t="shared" si="158"/>
        <v>0</v>
      </c>
      <c r="BO91" s="39">
        <v>0</v>
      </c>
      <c r="BP91" s="39">
        <v>0</v>
      </c>
      <c r="BQ91" s="39">
        <v>0</v>
      </c>
      <c r="BR91" s="39">
        <v>0</v>
      </c>
      <c r="BS91" s="39">
        <v>0</v>
      </c>
      <c r="BT91" s="39">
        <v>0</v>
      </c>
      <c r="BU91" s="39">
        <v>0</v>
      </c>
      <c r="BV91" s="39">
        <v>0</v>
      </c>
      <c r="BW91" s="39">
        <v>0</v>
      </c>
      <c r="BX91" s="39">
        <v>0</v>
      </c>
      <c r="BY91" s="39">
        <v>0</v>
      </c>
      <c r="BZ91" s="39">
        <f t="shared" si="159"/>
        <v>0</v>
      </c>
      <c r="CA91" s="39">
        <f t="shared" si="160"/>
        <v>0</v>
      </c>
      <c r="CB91" s="39">
        <f t="shared" si="113"/>
        <v>0</v>
      </c>
      <c r="CC91" s="39">
        <v>0</v>
      </c>
      <c r="CD91" s="39"/>
      <c r="CE91" s="19">
        <f t="shared" si="161"/>
        <v>0</v>
      </c>
      <c r="CF91" s="39">
        <v>0</v>
      </c>
      <c r="CG91" s="39">
        <v>0</v>
      </c>
      <c r="CH91" s="39">
        <v>0</v>
      </c>
      <c r="CI91" s="39">
        <v>0</v>
      </c>
      <c r="CJ91" s="39">
        <v>0</v>
      </c>
      <c r="CK91" s="39">
        <f t="shared" si="162"/>
        <v>0</v>
      </c>
      <c r="CL91" s="39">
        <v>0</v>
      </c>
      <c r="CM91" s="39">
        <v>0</v>
      </c>
      <c r="CN91" s="39"/>
      <c r="CO91" s="39">
        <v>0</v>
      </c>
      <c r="CP91" s="75"/>
      <c r="CQ91" s="75"/>
      <c r="CR91" s="75"/>
      <c r="CS91" s="39">
        <f t="shared" si="114"/>
        <v>0</v>
      </c>
      <c r="CT91" s="39">
        <f t="shared" si="115"/>
        <v>0</v>
      </c>
      <c r="CU91" s="39">
        <v>0</v>
      </c>
      <c r="CV91" s="41">
        <v>0</v>
      </c>
      <c r="CW91" s="52"/>
    </row>
    <row r="92" spans="1:101" s="52" customFormat="1" ht="31.2" x14ac:dyDescent="0.3">
      <c r="A92" s="108"/>
      <c r="B92" s="42" t="s">
        <v>78</v>
      </c>
      <c r="C92" s="43" t="s">
        <v>446</v>
      </c>
      <c r="D92" s="39">
        <f t="shared" si="150"/>
        <v>227736</v>
      </c>
      <c r="E92" s="39">
        <f t="shared" si="151"/>
        <v>227736</v>
      </c>
      <c r="F92" s="39">
        <f t="shared" si="152"/>
        <v>227736</v>
      </c>
      <c r="G92" s="35">
        <v>0</v>
      </c>
      <c r="H92" s="35">
        <v>0</v>
      </c>
      <c r="I92" s="39">
        <f t="shared" si="110"/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9">
        <f t="shared" si="111"/>
        <v>0</v>
      </c>
      <c r="Q92" s="39">
        <v>0</v>
      </c>
      <c r="R92" s="39">
        <v>0</v>
      </c>
      <c r="S92" s="39">
        <v>0</v>
      </c>
      <c r="T92" s="39">
        <v>0</v>
      </c>
      <c r="U92" s="39">
        <f t="shared" si="153"/>
        <v>0</v>
      </c>
      <c r="V92" s="39">
        <v>0</v>
      </c>
      <c r="W92" s="39">
        <v>0</v>
      </c>
      <c r="X92" s="39">
        <v>0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f t="shared" si="154"/>
        <v>227736</v>
      </c>
      <c r="AF92" s="40">
        <v>0</v>
      </c>
      <c r="AG92" s="35">
        <v>227736</v>
      </c>
      <c r="AH92" s="39">
        <v>0</v>
      </c>
      <c r="AI92" s="39">
        <v>0</v>
      </c>
      <c r="AJ92" s="39">
        <v>0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39">
        <v>0</v>
      </c>
      <c r="AQ92" s="39">
        <v>0</v>
      </c>
      <c r="AR92" s="39">
        <v>0</v>
      </c>
      <c r="AS92" s="39">
        <v>0</v>
      </c>
      <c r="AT92" s="39">
        <v>0</v>
      </c>
      <c r="AU92" s="39">
        <v>0</v>
      </c>
      <c r="AV92" s="39">
        <v>0</v>
      </c>
      <c r="AW92" s="39">
        <v>0</v>
      </c>
      <c r="AX92" s="39">
        <v>0</v>
      </c>
      <c r="AY92" s="39">
        <v>0</v>
      </c>
      <c r="AZ92" s="39">
        <v>0</v>
      </c>
      <c r="BA92" s="39">
        <f t="shared" si="155"/>
        <v>0</v>
      </c>
      <c r="BB92" s="39">
        <f t="shared" si="156"/>
        <v>0</v>
      </c>
      <c r="BC92" s="39">
        <v>0</v>
      </c>
      <c r="BD92" s="39">
        <v>0</v>
      </c>
      <c r="BE92" s="39">
        <v>0</v>
      </c>
      <c r="BF92" s="39">
        <f t="shared" si="157"/>
        <v>0</v>
      </c>
      <c r="BG92" s="39">
        <v>0</v>
      </c>
      <c r="BH92" s="39">
        <v>0</v>
      </c>
      <c r="BI92" s="39">
        <v>0</v>
      </c>
      <c r="BJ92" s="39">
        <v>0</v>
      </c>
      <c r="BK92" s="39">
        <f t="shared" si="112"/>
        <v>0</v>
      </c>
      <c r="BL92" s="39">
        <v>0</v>
      </c>
      <c r="BM92" s="39">
        <v>0</v>
      </c>
      <c r="BN92" s="39">
        <f t="shared" si="158"/>
        <v>0</v>
      </c>
      <c r="BO92" s="39">
        <v>0</v>
      </c>
      <c r="BP92" s="39">
        <v>0</v>
      </c>
      <c r="BQ92" s="39">
        <v>0</v>
      </c>
      <c r="BR92" s="39">
        <v>0</v>
      </c>
      <c r="BS92" s="39">
        <v>0</v>
      </c>
      <c r="BT92" s="39">
        <v>0</v>
      </c>
      <c r="BU92" s="39">
        <v>0</v>
      </c>
      <c r="BV92" s="39">
        <v>0</v>
      </c>
      <c r="BW92" s="39">
        <v>0</v>
      </c>
      <c r="BX92" s="39">
        <v>0</v>
      </c>
      <c r="BY92" s="39">
        <v>0</v>
      </c>
      <c r="BZ92" s="39">
        <f t="shared" si="159"/>
        <v>0</v>
      </c>
      <c r="CA92" s="39">
        <f t="shared" si="160"/>
        <v>0</v>
      </c>
      <c r="CB92" s="39">
        <f t="shared" si="113"/>
        <v>0</v>
      </c>
      <c r="CC92" s="39">
        <v>0</v>
      </c>
      <c r="CD92" s="39">
        <v>0</v>
      </c>
      <c r="CE92" s="19">
        <f t="shared" si="161"/>
        <v>0</v>
      </c>
      <c r="CF92" s="39">
        <v>0</v>
      </c>
      <c r="CG92" s="39">
        <v>0</v>
      </c>
      <c r="CH92" s="39">
        <v>0</v>
      </c>
      <c r="CI92" s="39">
        <v>0</v>
      </c>
      <c r="CJ92" s="39">
        <v>0</v>
      </c>
      <c r="CK92" s="39">
        <f t="shared" si="162"/>
        <v>0</v>
      </c>
      <c r="CL92" s="39">
        <v>0</v>
      </c>
      <c r="CM92" s="39">
        <v>0</v>
      </c>
      <c r="CN92" s="39"/>
      <c r="CO92" s="39">
        <v>0</v>
      </c>
      <c r="CP92" s="75"/>
      <c r="CQ92" s="75"/>
      <c r="CR92" s="75"/>
      <c r="CS92" s="39">
        <f t="shared" si="114"/>
        <v>0</v>
      </c>
      <c r="CT92" s="39">
        <f t="shared" si="115"/>
        <v>0</v>
      </c>
      <c r="CU92" s="39">
        <v>0</v>
      </c>
      <c r="CV92" s="41">
        <v>0</v>
      </c>
    </row>
    <row r="93" spans="1:101" s="57" customFormat="1" ht="31.2" x14ac:dyDescent="0.3">
      <c r="A93" s="106" t="s">
        <v>163</v>
      </c>
      <c r="B93" s="25" t="s">
        <v>1</v>
      </c>
      <c r="C93" s="26" t="s">
        <v>164</v>
      </c>
      <c r="D93" s="27">
        <f>SUM(D94)</f>
        <v>199221644</v>
      </c>
      <c r="E93" s="27">
        <f t="shared" ref="E93:BT94" si="172">SUM(E94)</f>
        <v>199221644</v>
      </c>
      <c r="F93" s="27">
        <f t="shared" si="172"/>
        <v>0</v>
      </c>
      <c r="G93" s="27">
        <f t="shared" si="172"/>
        <v>0</v>
      </c>
      <c r="H93" s="27">
        <f t="shared" si="172"/>
        <v>0</v>
      </c>
      <c r="I93" s="27">
        <f t="shared" si="172"/>
        <v>0</v>
      </c>
      <c r="J93" s="27">
        <f t="shared" si="172"/>
        <v>0</v>
      </c>
      <c r="K93" s="27">
        <f t="shared" si="172"/>
        <v>0</v>
      </c>
      <c r="L93" s="27">
        <f t="shared" si="172"/>
        <v>0</v>
      </c>
      <c r="M93" s="27">
        <f t="shared" si="172"/>
        <v>0</v>
      </c>
      <c r="N93" s="27">
        <f t="shared" si="172"/>
        <v>0</v>
      </c>
      <c r="O93" s="27">
        <f t="shared" si="172"/>
        <v>0</v>
      </c>
      <c r="P93" s="27">
        <f t="shared" si="172"/>
        <v>0</v>
      </c>
      <c r="Q93" s="27">
        <f t="shared" si="172"/>
        <v>0</v>
      </c>
      <c r="R93" s="27">
        <f t="shared" si="172"/>
        <v>0</v>
      </c>
      <c r="S93" s="27">
        <f t="shared" si="172"/>
        <v>0</v>
      </c>
      <c r="T93" s="27">
        <f t="shared" si="172"/>
        <v>0</v>
      </c>
      <c r="U93" s="27">
        <f t="shared" si="172"/>
        <v>0</v>
      </c>
      <c r="V93" s="27">
        <f t="shared" si="172"/>
        <v>0</v>
      </c>
      <c r="W93" s="27">
        <f t="shared" si="172"/>
        <v>0</v>
      </c>
      <c r="X93" s="27">
        <f t="shared" si="172"/>
        <v>0</v>
      </c>
      <c r="Y93" s="27">
        <f t="shared" si="172"/>
        <v>0</v>
      </c>
      <c r="Z93" s="27">
        <f t="shared" si="172"/>
        <v>0</v>
      </c>
      <c r="AA93" s="27">
        <f t="shared" si="172"/>
        <v>0</v>
      </c>
      <c r="AB93" s="27">
        <f t="shared" si="172"/>
        <v>0</v>
      </c>
      <c r="AC93" s="27">
        <f t="shared" si="172"/>
        <v>0</v>
      </c>
      <c r="AD93" s="27">
        <f t="shared" si="172"/>
        <v>0</v>
      </c>
      <c r="AE93" s="27">
        <f t="shared" si="172"/>
        <v>0</v>
      </c>
      <c r="AF93" s="27">
        <f t="shared" si="172"/>
        <v>0</v>
      </c>
      <c r="AG93" s="27">
        <f t="shared" si="172"/>
        <v>0</v>
      </c>
      <c r="AH93" s="27">
        <f t="shared" si="172"/>
        <v>0</v>
      </c>
      <c r="AI93" s="27">
        <f t="shared" si="172"/>
        <v>0</v>
      </c>
      <c r="AJ93" s="27">
        <f t="shared" si="172"/>
        <v>0</v>
      </c>
      <c r="AK93" s="27">
        <f t="shared" si="172"/>
        <v>0</v>
      </c>
      <c r="AL93" s="27">
        <f t="shared" si="172"/>
        <v>0</v>
      </c>
      <c r="AM93" s="27">
        <f t="shared" si="172"/>
        <v>0</v>
      </c>
      <c r="AN93" s="27">
        <f t="shared" si="172"/>
        <v>0</v>
      </c>
      <c r="AO93" s="27">
        <f t="shared" si="172"/>
        <v>0</v>
      </c>
      <c r="AP93" s="27">
        <f t="shared" si="172"/>
        <v>0</v>
      </c>
      <c r="AQ93" s="27">
        <f t="shared" si="172"/>
        <v>0</v>
      </c>
      <c r="AR93" s="27">
        <f t="shared" si="172"/>
        <v>0</v>
      </c>
      <c r="AS93" s="27">
        <f t="shared" si="172"/>
        <v>0</v>
      </c>
      <c r="AT93" s="27"/>
      <c r="AU93" s="27"/>
      <c r="AV93" s="27">
        <f t="shared" si="172"/>
        <v>0</v>
      </c>
      <c r="AW93" s="27">
        <f t="shared" si="172"/>
        <v>0</v>
      </c>
      <c r="AX93" s="27">
        <f t="shared" si="172"/>
        <v>0</v>
      </c>
      <c r="AY93" s="27"/>
      <c r="AZ93" s="27">
        <f t="shared" si="172"/>
        <v>0</v>
      </c>
      <c r="BA93" s="27">
        <f t="shared" si="172"/>
        <v>199221644</v>
      </c>
      <c r="BB93" s="27">
        <f t="shared" si="172"/>
        <v>199221644</v>
      </c>
      <c r="BC93" s="27">
        <f t="shared" si="172"/>
        <v>199221644</v>
      </c>
      <c r="BD93" s="27">
        <f t="shared" si="172"/>
        <v>0</v>
      </c>
      <c r="BE93" s="27">
        <f t="shared" si="172"/>
        <v>0</v>
      </c>
      <c r="BF93" s="27">
        <f t="shared" si="172"/>
        <v>0</v>
      </c>
      <c r="BG93" s="27">
        <f t="shared" si="172"/>
        <v>0</v>
      </c>
      <c r="BH93" s="27">
        <f t="shared" si="172"/>
        <v>0</v>
      </c>
      <c r="BI93" s="27">
        <f t="shared" si="172"/>
        <v>0</v>
      </c>
      <c r="BJ93" s="27">
        <f t="shared" si="172"/>
        <v>0</v>
      </c>
      <c r="BK93" s="27">
        <f t="shared" si="172"/>
        <v>0</v>
      </c>
      <c r="BL93" s="27">
        <f t="shared" si="172"/>
        <v>0</v>
      </c>
      <c r="BM93" s="27">
        <f t="shared" si="172"/>
        <v>0</v>
      </c>
      <c r="BN93" s="27">
        <f t="shared" si="172"/>
        <v>0</v>
      </c>
      <c r="BO93" s="27">
        <f t="shared" si="172"/>
        <v>0</v>
      </c>
      <c r="BP93" s="27">
        <f t="shared" si="172"/>
        <v>0</v>
      </c>
      <c r="BQ93" s="27">
        <f t="shared" si="172"/>
        <v>0</v>
      </c>
      <c r="BR93" s="27">
        <f t="shared" si="172"/>
        <v>0</v>
      </c>
      <c r="BS93" s="27">
        <f t="shared" si="172"/>
        <v>0</v>
      </c>
      <c r="BT93" s="27">
        <f t="shared" si="172"/>
        <v>0</v>
      </c>
      <c r="BU93" s="27">
        <f t="shared" ref="BU93:CV94" si="173">SUM(BU94)</f>
        <v>0</v>
      </c>
      <c r="BV93" s="27">
        <f t="shared" si="173"/>
        <v>0</v>
      </c>
      <c r="BW93" s="27">
        <f t="shared" si="173"/>
        <v>0</v>
      </c>
      <c r="BX93" s="27">
        <f t="shared" si="173"/>
        <v>0</v>
      </c>
      <c r="BY93" s="27">
        <f t="shared" si="173"/>
        <v>0</v>
      </c>
      <c r="BZ93" s="27">
        <f t="shared" si="173"/>
        <v>0</v>
      </c>
      <c r="CA93" s="27">
        <f t="shared" si="173"/>
        <v>0</v>
      </c>
      <c r="CB93" s="27">
        <f t="shared" si="173"/>
        <v>0</v>
      </c>
      <c r="CC93" s="27">
        <f t="shared" si="173"/>
        <v>0</v>
      </c>
      <c r="CD93" s="27">
        <f t="shared" si="173"/>
        <v>0</v>
      </c>
      <c r="CE93" s="27">
        <f t="shared" si="173"/>
        <v>0</v>
      </c>
      <c r="CF93" s="27">
        <f t="shared" si="173"/>
        <v>0</v>
      </c>
      <c r="CG93" s="27">
        <f t="shared" si="173"/>
        <v>0</v>
      </c>
      <c r="CH93" s="27">
        <f t="shared" si="173"/>
        <v>0</v>
      </c>
      <c r="CI93" s="27">
        <f t="shared" si="173"/>
        <v>0</v>
      </c>
      <c r="CJ93" s="27">
        <f t="shared" si="173"/>
        <v>0</v>
      </c>
      <c r="CK93" s="27">
        <f t="shared" si="173"/>
        <v>0</v>
      </c>
      <c r="CL93" s="27">
        <f t="shared" si="173"/>
        <v>0</v>
      </c>
      <c r="CM93" s="27">
        <f t="shared" si="173"/>
        <v>0</v>
      </c>
      <c r="CN93" s="27"/>
      <c r="CO93" s="27">
        <f t="shared" si="173"/>
        <v>0</v>
      </c>
      <c r="CP93" s="27">
        <f t="shared" si="173"/>
        <v>0</v>
      </c>
      <c r="CQ93" s="27">
        <f t="shared" si="173"/>
        <v>0</v>
      </c>
      <c r="CR93" s="27">
        <f t="shared" si="173"/>
        <v>0</v>
      </c>
      <c r="CS93" s="27">
        <f t="shared" si="173"/>
        <v>0</v>
      </c>
      <c r="CT93" s="27">
        <f t="shared" si="173"/>
        <v>0</v>
      </c>
      <c r="CU93" s="27">
        <f t="shared" si="173"/>
        <v>0</v>
      </c>
      <c r="CV93" s="60">
        <f t="shared" si="173"/>
        <v>0</v>
      </c>
    </row>
    <row r="94" spans="1:101" s="57" customFormat="1" ht="31.2" x14ac:dyDescent="0.3">
      <c r="A94" s="104" t="s">
        <v>165</v>
      </c>
      <c r="B94" s="16" t="s">
        <v>1</v>
      </c>
      <c r="C94" s="17" t="s">
        <v>496</v>
      </c>
      <c r="D94" s="18">
        <f>SUM(D95)</f>
        <v>199221644</v>
      </c>
      <c r="E94" s="18">
        <f t="shared" si="172"/>
        <v>199221644</v>
      </c>
      <c r="F94" s="18">
        <f t="shared" si="172"/>
        <v>0</v>
      </c>
      <c r="G94" s="18">
        <f t="shared" si="172"/>
        <v>0</v>
      </c>
      <c r="H94" s="18">
        <f t="shared" si="172"/>
        <v>0</v>
      </c>
      <c r="I94" s="18">
        <f t="shared" si="172"/>
        <v>0</v>
      </c>
      <c r="J94" s="18">
        <f t="shared" si="172"/>
        <v>0</v>
      </c>
      <c r="K94" s="18">
        <f t="shared" si="172"/>
        <v>0</v>
      </c>
      <c r="L94" s="18">
        <f t="shared" si="172"/>
        <v>0</v>
      </c>
      <c r="M94" s="18">
        <f t="shared" si="172"/>
        <v>0</v>
      </c>
      <c r="N94" s="18">
        <f t="shared" si="172"/>
        <v>0</v>
      </c>
      <c r="O94" s="18">
        <f t="shared" si="172"/>
        <v>0</v>
      </c>
      <c r="P94" s="18">
        <f t="shared" si="172"/>
        <v>0</v>
      </c>
      <c r="Q94" s="18">
        <f t="shared" si="172"/>
        <v>0</v>
      </c>
      <c r="R94" s="18">
        <f t="shared" si="172"/>
        <v>0</v>
      </c>
      <c r="S94" s="18">
        <f t="shared" si="172"/>
        <v>0</v>
      </c>
      <c r="T94" s="18">
        <f t="shared" si="172"/>
        <v>0</v>
      </c>
      <c r="U94" s="18">
        <f t="shared" si="172"/>
        <v>0</v>
      </c>
      <c r="V94" s="18">
        <f t="shared" si="172"/>
        <v>0</v>
      </c>
      <c r="W94" s="18">
        <f t="shared" si="172"/>
        <v>0</v>
      </c>
      <c r="X94" s="18">
        <f t="shared" si="172"/>
        <v>0</v>
      </c>
      <c r="Y94" s="18">
        <f t="shared" si="172"/>
        <v>0</v>
      </c>
      <c r="Z94" s="18">
        <f t="shared" si="172"/>
        <v>0</v>
      </c>
      <c r="AA94" s="18">
        <f t="shared" si="172"/>
        <v>0</v>
      </c>
      <c r="AB94" s="18">
        <f t="shared" si="172"/>
        <v>0</v>
      </c>
      <c r="AC94" s="18">
        <f t="shared" si="172"/>
        <v>0</v>
      </c>
      <c r="AD94" s="18">
        <f t="shared" si="172"/>
        <v>0</v>
      </c>
      <c r="AE94" s="18">
        <f t="shared" si="172"/>
        <v>0</v>
      </c>
      <c r="AF94" s="18">
        <f t="shared" si="172"/>
        <v>0</v>
      </c>
      <c r="AG94" s="18">
        <f t="shared" si="172"/>
        <v>0</v>
      </c>
      <c r="AH94" s="18">
        <f t="shared" si="172"/>
        <v>0</v>
      </c>
      <c r="AI94" s="18">
        <f t="shared" si="172"/>
        <v>0</v>
      </c>
      <c r="AJ94" s="18">
        <f t="shared" si="172"/>
        <v>0</v>
      </c>
      <c r="AK94" s="18">
        <f t="shared" si="172"/>
        <v>0</v>
      </c>
      <c r="AL94" s="18">
        <f t="shared" si="172"/>
        <v>0</v>
      </c>
      <c r="AM94" s="18">
        <f t="shared" si="172"/>
        <v>0</v>
      </c>
      <c r="AN94" s="18">
        <f t="shared" si="172"/>
        <v>0</v>
      </c>
      <c r="AO94" s="18">
        <f t="shared" si="172"/>
        <v>0</v>
      </c>
      <c r="AP94" s="18">
        <f t="shared" si="172"/>
        <v>0</v>
      </c>
      <c r="AQ94" s="18">
        <f t="shared" si="172"/>
        <v>0</v>
      </c>
      <c r="AR94" s="18">
        <f t="shared" si="172"/>
        <v>0</v>
      </c>
      <c r="AS94" s="18">
        <f t="shared" si="172"/>
        <v>0</v>
      </c>
      <c r="AT94" s="18"/>
      <c r="AU94" s="18"/>
      <c r="AV94" s="18">
        <f t="shared" si="172"/>
        <v>0</v>
      </c>
      <c r="AW94" s="18">
        <f t="shared" si="172"/>
        <v>0</v>
      </c>
      <c r="AX94" s="18">
        <f t="shared" si="172"/>
        <v>0</v>
      </c>
      <c r="AY94" s="18"/>
      <c r="AZ94" s="18">
        <f t="shared" si="172"/>
        <v>0</v>
      </c>
      <c r="BA94" s="18">
        <f t="shared" si="172"/>
        <v>199221644</v>
      </c>
      <c r="BB94" s="18">
        <f t="shared" si="172"/>
        <v>199221644</v>
      </c>
      <c r="BC94" s="18">
        <f t="shared" si="172"/>
        <v>199221644</v>
      </c>
      <c r="BD94" s="18">
        <f t="shared" si="172"/>
        <v>0</v>
      </c>
      <c r="BE94" s="18">
        <f t="shared" si="172"/>
        <v>0</v>
      </c>
      <c r="BF94" s="18">
        <f t="shared" si="172"/>
        <v>0</v>
      </c>
      <c r="BG94" s="18">
        <f t="shared" si="172"/>
        <v>0</v>
      </c>
      <c r="BH94" s="18">
        <f t="shared" si="172"/>
        <v>0</v>
      </c>
      <c r="BI94" s="18">
        <f t="shared" si="172"/>
        <v>0</v>
      </c>
      <c r="BJ94" s="18">
        <f t="shared" si="172"/>
        <v>0</v>
      </c>
      <c r="BK94" s="18">
        <f t="shared" si="172"/>
        <v>0</v>
      </c>
      <c r="BL94" s="18">
        <f t="shared" si="172"/>
        <v>0</v>
      </c>
      <c r="BM94" s="18">
        <f t="shared" si="172"/>
        <v>0</v>
      </c>
      <c r="BN94" s="18">
        <f t="shared" si="172"/>
        <v>0</v>
      </c>
      <c r="BO94" s="18">
        <f t="shared" si="172"/>
        <v>0</v>
      </c>
      <c r="BP94" s="18">
        <f t="shared" si="172"/>
        <v>0</v>
      </c>
      <c r="BQ94" s="18">
        <f t="shared" si="172"/>
        <v>0</v>
      </c>
      <c r="BR94" s="18">
        <f t="shared" si="172"/>
        <v>0</v>
      </c>
      <c r="BS94" s="18">
        <f t="shared" si="172"/>
        <v>0</v>
      </c>
      <c r="BT94" s="18">
        <f t="shared" si="172"/>
        <v>0</v>
      </c>
      <c r="BU94" s="18">
        <f t="shared" si="173"/>
        <v>0</v>
      </c>
      <c r="BV94" s="18">
        <f t="shared" si="173"/>
        <v>0</v>
      </c>
      <c r="BW94" s="18">
        <f t="shared" si="173"/>
        <v>0</v>
      </c>
      <c r="BX94" s="18">
        <f t="shared" si="173"/>
        <v>0</v>
      </c>
      <c r="BY94" s="18">
        <f t="shared" si="173"/>
        <v>0</v>
      </c>
      <c r="BZ94" s="18">
        <f t="shared" si="173"/>
        <v>0</v>
      </c>
      <c r="CA94" s="18">
        <f t="shared" si="173"/>
        <v>0</v>
      </c>
      <c r="CB94" s="18">
        <f t="shared" si="173"/>
        <v>0</v>
      </c>
      <c r="CC94" s="18">
        <f t="shared" si="173"/>
        <v>0</v>
      </c>
      <c r="CD94" s="18">
        <f t="shared" si="173"/>
        <v>0</v>
      </c>
      <c r="CE94" s="18">
        <f t="shared" si="173"/>
        <v>0</v>
      </c>
      <c r="CF94" s="18">
        <f t="shared" si="173"/>
        <v>0</v>
      </c>
      <c r="CG94" s="18">
        <f t="shared" si="173"/>
        <v>0</v>
      </c>
      <c r="CH94" s="18">
        <f t="shared" si="173"/>
        <v>0</v>
      </c>
      <c r="CI94" s="18">
        <f t="shared" si="173"/>
        <v>0</v>
      </c>
      <c r="CJ94" s="18">
        <f t="shared" si="173"/>
        <v>0</v>
      </c>
      <c r="CK94" s="18">
        <f t="shared" si="173"/>
        <v>0</v>
      </c>
      <c r="CL94" s="18">
        <f t="shared" si="173"/>
        <v>0</v>
      </c>
      <c r="CM94" s="18">
        <f t="shared" si="173"/>
        <v>0</v>
      </c>
      <c r="CN94" s="18"/>
      <c r="CO94" s="18">
        <f t="shared" si="173"/>
        <v>0</v>
      </c>
      <c r="CP94" s="74"/>
      <c r="CQ94" s="74"/>
      <c r="CR94" s="74"/>
      <c r="CS94" s="18">
        <f t="shared" si="173"/>
        <v>0</v>
      </c>
      <c r="CT94" s="18">
        <f t="shared" si="173"/>
        <v>0</v>
      </c>
      <c r="CU94" s="18">
        <f t="shared" si="173"/>
        <v>0</v>
      </c>
      <c r="CV94" s="46">
        <f t="shared" si="173"/>
        <v>0</v>
      </c>
    </row>
    <row r="95" spans="1:101" s="79" customFormat="1" ht="15.6" x14ac:dyDescent="0.3">
      <c r="A95" s="107" t="s">
        <v>1</v>
      </c>
      <c r="B95" s="72" t="s">
        <v>54</v>
      </c>
      <c r="C95" s="73" t="s">
        <v>166</v>
      </c>
      <c r="D95" s="75">
        <f>SUM(E95+BZ95+CS95)</f>
        <v>199221644</v>
      </c>
      <c r="E95" s="75">
        <f>SUM(F95+BA95)</f>
        <v>199221644</v>
      </c>
      <c r="F95" s="75">
        <f>SUM(G95+H95+I95+P95+S95+T95+U95+AE95+AD95)</f>
        <v>0</v>
      </c>
      <c r="G95" s="75">
        <v>0</v>
      </c>
      <c r="H95" s="75">
        <v>0</v>
      </c>
      <c r="I95" s="75">
        <f t="shared" si="110"/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75">
        <f t="shared" si="111"/>
        <v>0</v>
      </c>
      <c r="Q95" s="75">
        <v>0</v>
      </c>
      <c r="R95" s="75">
        <v>0</v>
      </c>
      <c r="S95" s="75">
        <v>0</v>
      </c>
      <c r="T95" s="75">
        <v>0</v>
      </c>
      <c r="U95" s="75">
        <f>SUM(V95:AC95)</f>
        <v>0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f>SUM(AF95:AZ95)</f>
        <v>0</v>
      </c>
      <c r="AF95" s="75">
        <v>0</v>
      </c>
      <c r="AG95" s="75">
        <v>0</v>
      </c>
      <c r="AH95" s="75">
        <v>0</v>
      </c>
      <c r="AI95" s="75">
        <v>0</v>
      </c>
      <c r="AJ95" s="75">
        <v>0</v>
      </c>
      <c r="AK95" s="75">
        <v>0</v>
      </c>
      <c r="AL95" s="75">
        <v>0</v>
      </c>
      <c r="AM95" s="75">
        <v>0</v>
      </c>
      <c r="AN95" s="75">
        <v>0</v>
      </c>
      <c r="AO95" s="75">
        <v>0</v>
      </c>
      <c r="AP95" s="75">
        <v>0</v>
      </c>
      <c r="AQ95" s="75">
        <v>0</v>
      </c>
      <c r="AR95" s="75">
        <v>0</v>
      </c>
      <c r="AS95" s="75">
        <v>0</v>
      </c>
      <c r="AT95" s="75"/>
      <c r="AU95" s="75"/>
      <c r="AV95" s="75">
        <v>0</v>
      </c>
      <c r="AW95" s="75">
        <v>0</v>
      </c>
      <c r="AX95" s="75">
        <v>0</v>
      </c>
      <c r="AY95" s="75"/>
      <c r="AZ95" s="75">
        <v>0</v>
      </c>
      <c r="BA95" s="75">
        <f>SUM(BB95+BF95+BI95+BK95+BN95)</f>
        <v>199221644</v>
      </c>
      <c r="BB95" s="75">
        <f>SUM(BC95:BE95)</f>
        <v>199221644</v>
      </c>
      <c r="BC95" s="75">
        <f>283464734+18033752-220145154+117868312</f>
        <v>199221644</v>
      </c>
      <c r="BD95" s="75">
        <v>0</v>
      </c>
      <c r="BE95" s="75">
        <v>0</v>
      </c>
      <c r="BF95" s="75">
        <f>SUM(BH95:BH95)</f>
        <v>0</v>
      </c>
      <c r="BG95" s="75">
        <v>0</v>
      </c>
      <c r="BH95" s="75">
        <v>0</v>
      </c>
      <c r="BI95" s="75">
        <v>0</v>
      </c>
      <c r="BJ95" s="75"/>
      <c r="BK95" s="75">
        <f t="shared" si="112"/>
        <v>0</v>
      </c>
      <c r="BL95" s="75">
        <v>0</v>
      </c>
      <c r="BM95" s="75">
        <v>0</v>
      </c>
      <c r="BN95" s="75">
        <f>SUM(BO95:BY95)</f>
        <v>0</v>
      </c>
      <c r="BO95" s="75">
        <v>0</v>
      </c>
      <c r="BP95" s="75">
        <v>0</v>
      </c>
      <c r="BQ95" s="75">
        <v>0</v>
      </c>
      <c r="BR95" s="75">
        <v>0</v>
      </c>
      <c r="BS95" s="75">
        <v>0</v>
      </c>
      <c r="BT95" s="75">
        <v>0</v>
      </c>
      <c r="BU95" s="75">
        <v>0</v>
      </c>
      <c r="BV95" s="75">
        <v>0</v>
      </c>
      <c r="BW95" s="75">
        <v>0</v>
      </c>
      <c r="BX95" s="75">
        <v>0</v>
      </c>
      <c r="BY95" s="75">
        <v>0</v>
      </c>
      <c r="BZ95" s="75">
        <f>SUM(CA95+CO95)</f>
        <v>0</v>
      </c>
      <c r="CA95" s="75">
        <f>SUM(CB95+CE95+CK95)</f>
        <v>0</v>
      </c>
      <c r="CB95" s="75">
        <f t="shared" si="113"/>
        <v>0</v>
      </c>
      <c r="CC95" s="75">
        <v>0</v>
      </c>
      <c r="CD95" s="75">
        <v>0</v>
      </c>
      <c r="CE95" s="75">
        <f>SUM(CF95:CJ95)</f>
        <v>0</v>
      </c>
      <c r="CF95" s="75">
        <v>0</v>
      </c>
      <c r="CG95" s="75">
        <v>0</v>
      </c>
      <c r="CH95" s="75">
        <v>0</v>
      </c>
      <c r="CI95" s="75">
        <v>0</v>
      </c>
      <c r="CJ95" s="75">
        <v>0</v>
      </c>
      <c r="CK95" s="75">
        <f>SUM(CL95:CN95)</f>
        <v>0</v>
      </c>
      <c r="CL95" s="75">
        <v>0</v>
      </c>
      <c r="CM95" s="75">
        <v>0</v>
      </c>
      <c r="CN95" s="75"/>
      <c r="CO95" s="75">
        <v>0</v>
      </c>
      <c r="CP95" s="75"/>
      <c r="CQ95" s="75"/>
      <c r="CR95" s="75"/>
      <c r="CS95" s="75">
        <f t="shared" si="114"/>
        <v>0</v>
      </c>
      <c r="CT95" s="75">
        <f t="shared" si="115"/>
        <v>0</v>
      </c>
      <c r="CU95" s="75">
        <v>0</v>
      </c>
      <c r="CV95" s="78">
        <v>0</v>
      </c>
    </row>
    <row r="96" spans="1:101" ht="15.6" x14ac:dyDescent="0.3">
      <c r="A96" s="106" t="s">
        <v>167</v>
      </c>
      <c r="B96" s="25" t="s">
        <v>1</v>
      </c>
      <c r="C96" s="26" t="s">
        <v>168</v>
      </c>
      <c r="D96" s="27">
        <f t="shared" ref="D96:AK96" si="174">SUM(D97)</f>
        <v>4540727</v>
      </c>
      <c r="E96" s="27">
        <f t="shared" si="174"/>
        <v>4540727</v>
      </c>
      <c r="F96" s="27">
        <f t="shared" si="174"/>
        <v>4540727</v>
      </c>
      <c r="G96" s="27">
        <f t="shared" si="174"/>
        <v>3691305</v>
      </c>
      <c r="H96" s="27">
        <f t="shared" si="174"/>
        <v>849422</v>
      </c>
      <c r="I96" s="27">
        <f t="shared" si="174"/>
        <v>0</v>
      </c>
      <c r="J96" s="27">
        <f t="shared" si="174"/>
        <v>0</v>
      </c>
      <c r="K96" s="27">
        <f t="shared" si="174"/>
        <v>0</v>
      </c>
      <c r="L96" s="27">
        <f t="shared" si="174"/>
        <v>0</v>
      </c>
      <c r="M96" s="27">
        <f t="shared" si="174"/>
        <v>0</v>
      </c>
      <c r="N96" s="27">
        <f t="shared" si="174"/>
        <v>0</v>
      </c>
      <c r="O96" s="27">
        <f t="shared" si="174"/>
        <v>0</v>
      </c>
      <c r="P96" s="27">
        <f t="shared" si="174"/>
        <v>0</v>
      </c>
      <c r="Q96" s="27">
        <f t="shared" si="174"/>
        <v>0</v>
      </c>
      <c r="R96" s="27">
        <f t="shared" si="174"/>
        <v>0</v>
      </c>
      <c r="S96" s="27">
        <f t="shared" si="174"/>
        <v>0</v>
      </c>
      <c r="T96" s="27">
        <f t="shared" si="174"/>
        <v>0</v>
      </c>
      <c r="U96" s="27">
        <f t="shared" si="174"/>
        <v>0</v>
      </c>
      <c r="V96" s="27">
        <f t="shared" si="174"/>
        <v>0</v>
      </c>
      <c r="W96" s="27">
        <f t="shared" si="174"/>
        <v>0</v>
      </c>
      <c r="X96" s="27">
        <f t="shared" si="174"/>
        <v>0</v>
      </c>
      <c r="Y96" s="27">
        <f t="shared" si="174"/>
        <v>0</v>
      </c>
      <c r="Z96" s="27">
        <f t="shared" si="174"/>
        <v>0</v>
      </c>
      <c r="AA96" s="27">
        <f t="shared" si="174"/>
        <v>0</v>
      </c>
      <c r="AB96" s="27">
        <f t="shared" si="174"/>
        <v>0</v>
      </c>
      <c r="AC96" s="27">
        <f t="shared" si="174"/>
        <v>0</v>
      </c>
      <c r="AD96" s="27">
        <f t="shared" si="174"/>
        <v>0</v>
      </c>
      <c r="AE96" s="27">
        <f t="shared" si="174"/>
        <v>0</v>
      </c>
      <c r="AF96" s="27">
        <f t="shared" si="174"/>
        <v>0</v>
      </c>
      <c r="AG96" s="27">
        <f t="shared" si="174"/>
        <v>0</v>
      </c>
      <c r="AH96" s="27">
        <f t="shared" si="174"/>
        <v>0</v>
      </c>
      <c r="AI96" s="27">
        <f t="shared" si="174"/>
        <v>0</v>
      </c>
      <c r="AJ96" s="27">
        <f t="shared" si="174"/>
        <v>0</v>
      </c>
      <c r="AK96" s="27">
        <f t="shared" si="174"/>
        <v>0</v>
      </c>
      <c r="AL96" s="27">
        <f t="shared" ref="AL96:CV96" si="175">SUM(AL97)</f>
        <v>0</v>
      </c>
      <c r="AM96" s="27">
        <f t="shared" si="175"/>
        <v>0</v>
      </c>
      <c r="AN96" s="27">
        <f t="shared" si="175"/>
        <v>0</v>
      </c>
      <c r="AO96" s="27">
        <f t="shared" si="175"/>
        <v>0</v>
      </c>
      <c r="AP96" s="27">
        <f t="shared" si="175"/>
        <v>0</v>
      </c>
      <c r="AQ96" s="27">
        <f t="shared" si="175"/>
        <v>0</v>
      </c>
      <c r="AR96" s="27">
        <f t="shared" si="175"/>
        <v>0</v>
      </c>
      <c r="AS96" s="27">
        <f t="shared" si="175"/>
        <v>0</v>
      </c>
      <c r="AT96" s="27"/>
      <c r="AU96" s="27"/>
      <c r="AV96" s="27">
        <f t="shared" si="175"/>
        <v>0</v>
      </c>
      <c r="AW96" s="27">
        <f t="shared" si="175"/>
        <v>0</v>
      </c>
      <c r="AX96" s="27">
        <f t="shared" si="175"/>
        <v>0</v>
      </c>
      <c r="AY96" s="27"/>
      <c r="AZ96" s="27">
        <f t="shared" si="175"/>
        <v>0</v>
      </c>
      <c r="BA96" s="27">
        <f t="shared" si="175"/>
        <v>0</v>
      </c>
      <c r="BB96" s="27">
        <f t="shared" si="175"/>
        <v>0</v>
      </c>
      <c r="BC96" s="27">
        <f t="shared" si="175"/>
        <v>0</v>
      </c>
      <c r="BD96" s="27">
        <f t="shared" si="175"/>
        <v>0</v>
      </c>
      <c r="BE96" s="27">
        <f t="shared" si="175"/>
        <v>0</v>
      </c>
      <c r="BF96" s="27">
        <f t="shared" si="175"/>
        <v>0</v>
      </c>
      <c r="BG96" s="27">
        <f t="shared" si="175"/>
        <v>0</v>
      </c>
      <c r="BH96" s="27">
        <f t="shared" si="175"/>
        <v>0</v>
      </c>
      <c r="BI96" s="27">
        <f t="shared" si="175"/>
        <v>0</v>
      </c>
      <c r="BJ96" s="27">
        <f t="shared" si="175"/>
        <v>0</v>
      </c>
      <c r="BK96" s="27">
        <f t="shared" si="175"/>
        <v>0</v>
      </c>
      <c r="BL96" s="27">
        <f t="shared" si="175"/>
        <v>0</v>
      </c>
      <c r="BM96" s="27">
        <f t="shared" si="175"/>
        <v>0</v>
      </c>
      <c r="BN96" s="27">
        <f t="shared" si="175"/>
        <v>0</v>
      </c>
      <c r="BO96" s="27">
        <f t="shared" si="175"/>
        <v>0</v>
      </c>
      <c r="BP96" s="27">
        <f t="shared" si="175"/>
        <v>0</v>
      </c>
      <c r="BQ96" s="27">
        <f t="shared" si="175"/>
        <v>0</v>
      </c>
      <c r="BR96" s="27">
        <f t="shared" si="175"/>
        <v>0</v>
      </c>
      <c r="BS96" s="27">
        <f t="shared" si="175"/>
        <v>0</v>
      </c>
      <c r="BT96" s="27">
        <f t="shared" si="175"/>
        <v>0</v>
      </c>
      <c r="BU96" s="27">
        <f t="shared" si="175"/>
        <v>0</v>
      </c>
      <c r="BV96" s="27">
        <f t="shared" si="175"/>
        <v>0</v>
      </c>
      <c r="BW96" s="27">
        <f t="shared" si="175"/>
        <v>0</v>
      </c>
      <c r="BX96" s="27">
        <f t="shared" si="175"/>
        <v>0</v>
      </c>
      <c r="BY96" s="27">
        <f t="shared" si="175"/>
        <v>0</v>
      </c>
      <c r="BZ96" s="27">
        <f t="shared" si="175"/>
        <v>0</v>
      </c>
      <c r="CA96" s="27">
        <f t="shared" si="175"/>
        <v>0</v>
      </c>
      <c r="CB96" s="27">
        <f t="shared" si="175"/>
        <v>0</v>
      </c>
      <c r="CC96" s="27">
        <f t="shared" si="175"/>
        <v>0</v>
      </c>
      <c r="CD96" s="27">
        <f t="shared" si="175"/>
        <v>0</v>
      </c>
      <c r="CE96" s="27">
        <f t="shared" si="175"/>
        <v>0</v>
      </c>
      <c r="CF96" s="27">
        <f t="shared" si="175"/>
        <v>0</v>
      </c>
      <c r="CG96" s="27">
        <f t="shared" si="175"/>
        <v>0</v>
      </c>
      <c r="CH96" s="27">
        <f t="shared" si="175"/>
        <v>0</v>
      </c>
      <c r="CI96" s="27">
        <f t="shared" si="175"/>
        <v>0</v>
      </c>
      <c r="CJ96" s="27">
        <f t="shared" si="175"/>
        <v>0</v>
      </c>
      <c r="CK96" s="27">
        <f t="shared" si="175"/>
        <v>0</v>
      </c>
      <c r="CL96" s="27">
        <f t="shared" si="175"/>
        <v>0</v>
      </c>
      <c r="CM96" s="27">
        <f t="shared" si="175"/>
        <v>0</v>
      </c>
      <c r="CN96" s="27"/>
      <c r="CO96" s="27">
        <f t="shared" si="175"/>
        <v>0</v>
      </c>
      <c r="CP96" s="27">
        <f t="shared" si="175"/>
        <v>0</v>
      </c>
      <c r="CQ96" s="27">
        <f t="shared" si="175"/>
        <v>0</v>
      </c>
      <c r="CR96" s="27">
        <f t="shared" si="175"/>
        <v>0</v>
      </c>
      <c r="CS96" s="27">
        <f t="shared" si="175"/>
        <v>0</v>
      </c>
      <c r="CT96" s="27">
        <f t="shared" si="175"/>
        <v>0</v>
      </c>
      <c r="CU96" s="27">
        <f t="shared" si="175"/>
        <v>0</v>
      </c>
      <c r="CV96" s="60">
        <f t="shared" si="175"/>
        <v>0</v>
      </c>
      <c r="CW96" s="57"/>
    </row>
    <row r="97" spans="1:101" ht="31.2" x14ac:dyDescent="0.3">
      <c r="A97" s="104" t="s">
        <v>169</v>
      </c>
      <c r="B97" s="16" t="s">
        <v>1</v>
      </c>
      <c r="C97" s="17" t="s">
        <v>497</v>
      </c>
      <c r="D97" s="18">
        <f t="shared" ref="D97:AS97" si="176">SUM(D98:D98)</f>
        <v>4540727</v>
      </c>
      <c r="E97" s="19">
        <f t="shared" si="176"/>
        <v>4540727</v>
      </c>
      <c r="F97" s="19">
        <f t="shared" si="176"/>
        <v>4540727</v>
      </c>
      <c r="G97" s="19">
        <f t="shared" si="176"/>
        <v>3691305</v>
      </c>
      <c r="H97" s="19">
        <f t="shared" si="176"/>
        <v>849422</v>
      </c>
      <c r="I97" s="19">
        <f t="shared" si="176"/>
        <v>0</v>
      </c>
      <c r="J97" s="19">
        <f t="shared" si="176"/>
        <v>0</v>
      </c>
      <c r="K97" s="19">
        <f t="shared" si="176"/>
        <v>0</v>
      </c>
      <c r="L97" s="19">
        <f t="shared" si="176"/>
        <v>0</v>
      </c>
      <c r="M97" s="19">
        <f t="shared" si="176"/>
        <v>0</v>
      </c>
      <c r="N97" s="19">
        <f t="shared" si="176"/>
        <v>0</v>
      </c>
      <c r="O97" s="19">
        <f t="shared" si="176"/>
        <v>0</v>
      </c>
      <c r="P97" s="19">
        <f t="shared" si="176"/>
        <v>0</v>
      </c>
      <c r="Q97" s="19">
        <f t="shared" si="176"/>
        <v>0</v>
      </c>
      <c r="R97" s="19">
        <f t="shared" si="176"/>
        <v>0</v>
      </c>
      <c r="S97" s="19">
        <f t="shared" si="176"/>
        <v>0</v>
      </c>
      <c r="T97" s="19">
        <f t="shared" si="176"/>
        <v>0</v>
      </c>
      <c r="U97" s="19">
        <f t="shared" si="176"/>
        <v>0</v>
      </c>
      <c r="V97" s="19">
        <f t="shared" si="176"/>
        <v>0</v>
      </c>
      <c r="W97" s="19">
        <f t="shared" si="176"/>
        <v>0</v>
      </c>
      <c r="X97" s="19">
        <f t="shared" si="176"/>
        <v>0</v>
      </c>
      <c r="Y97" s="19">
        <f t="shared" si="176"/>
        <v>0</v>
      </c>
      <c r="Z97" s="19">
        <f t="shared" si="176"/>
        <v>0</v>
      </c>
      <c r="AA97" s="19">
        <f t="shared" si="176"/>
        <v>0</v>
      </c>
      <c r="AB97" s="19">
        <f t="shared" si="176"/>
        <v>0</v>
      </c>
      <c r="AC97" s="19">
        <f t="shared" si="176"/>
        <v>0</v>
      </c>
      <c r="AD97" s="19">
        <f t="shared" si="176"/>
        <v>0</v>
      </c>
      <c r="AE97" s="19">
        <f t="shared" si="176"/>
        <v>0</v>
      </c>
      <c r="AF97" s="19">
        <f t="shared" si="176"/>
        <v>0</v>
      </c>
      <c r="AG97" s="19">
        <f t="shared" si="176"/>
        <v>0</v>
      </c>
      <c r="AH97" s="19">
        <f t="shared" si="176"/>
        <v>0</v>
      </c>
      <c r="AI97" s="19">
        <f t="shared" si="176"/>
        <v>0</v>
      </c>
      <c r="AJ97" s="19">
        <f t="shared" si="176"/>
        <v>0</v>
      </c>
      <c r="AK97" s="19">
        <f t="shared" si="176"/>
        <v>0</v>
      </c>
      <c r="AL97" s="19">
        <f t="shared" si="176"/>
        <v>0</v>
      </c>
      <c r="AM97" s="19">
        <f t="shared" si="176"/>
        <v>0</v>
      </c>
      <c r="AN97" s="19">
        <f t="shared" si="176"/>
        <v>0</v>
      </c>
      <c r="AO97" s="19">
        <f t="shared" si="176"/>
        <v>0</v>
      </c>
      <c r="AP97" s="19">
        <f t="shared" si="176"/>
        <v>0</v>
      </c>
      <c r="AQ97" s="19">
        <f t="shared" si="176"/>
        <v>0</v>
      </c>
      <c r="AR97" s="19">
        <f t="shared" si="176"/>
        <v>0</v>
      </c>
      <c r="AS97" s="19">
        <f t="shared" si="176"/>
        <v>0</v>
      </c>
      <c r="AT97" s="19"/>
      <c r="AU97" s="19"/>
      <c r="AV97" s="19">
        <f>SUM(AV98:AV98)</f>
        <v>0</v>
      </c>
      <c r="AW97" s="19">
        <f>SUM(AW98:AW98)</f>
        <v>0</v>
      </c>
      <c r="AX97" s="19">
        <f>SUM(AX98:AX98)</f>
        <v>0</v>
      </c>
      <c r="AY97" s="19"/>
      <c r="AZ97" s="19">
        <f t="shared" ref="AZ97:CM97" si="177">SUM(AZ98:AZ98)</f>
        <v>0</v>
      </c>
      <c r="BA97" s="19">
        <f t="shared" si="177"/>
        <v>0</v>
      </c>
      <c r="BB97" s="19">
        <f t="shared" si="177"/>
        <v>0</v>
      </c>
      <c r="BC97" s="19">
        <f t="shared" si="177"/>
        <v>0</v>
      </c>
      <c r="BD97" s="19">
        <f t="shared" si="177"/>
        <v>0</v>
      </c>
      <c r="BE97" s="19">
        <f t="shared" si="177"/>
        <v>0</v>
      </c>
      <c r="BF97" s="19">
        <f t="shared" si="177"/>
        <v>0</v>
      </c>
      <c r="BG97" s="19">
        <f t="shared" si="177"/>
        <v>0</v>
      </c>
      <c r="BH97" s="19">
        <f t="shared" si="177"/>
        <v>0</v>
      </c>
      <c r="BI97" s="19">
        <f t="shared" si="177"/>
        <v>0</v>
      </c>
      <c r="BJ97" s="19">
        <f t="shared" si="177"/>
        <v>0</v>
      </c>
      <c r="BK97" s="19">
        <f t="shared" si="177"/>
        <v>0</v>
      </c>
      <c r="BL97" s="19">
        <f t="shared" si="177"/>
        <v>0</v>
      </c>
      <c r="BM97" s="19">
        <f t="shared" si="177"/>
        <v>0</v>
      </c>
      <c r="BN97" s="19">
        <f t="shared" si="177"/>
        <v>0</v>
      </c>
      <c r="BO97" s="19">
        <f t="shared" si="177"/>
        <v>0</v>
      </c>
      <c r="BP97" s="19">
        <f t="shared" si="177"/>
        <v>0</v>
      </c>
      <c r="BQ97" s="19">
        <f t="shared" si="177"/>
        <v>0</v>
      </c>
      <c r="BR97" s="19">
        <f t="shared" si="177"/>
        <v>0</v>
      </c>
      <c r="BS97" s="19">
        <f t="shared" si="177"/>
        <v>0</v>
      </c>
      <c r="BT97" s="19">
        <f t="shared" si="177"/>
        <v>0</v>
      </c>
      <c r="BU97" s="19">
        <f t="shared" si="177"/>
        <v>0</v>
      </c>
      <c r="BV97" s="19">
        <f t="shared" si="177"/>
        <v>0</v>
      </c>
      <c r="BW97" s="19">
        <f t="shared" si="177"/>
        <v>0</v>
      </c>
      <c r="BX97" s="19">
        <f t="shared" si="177"/>
        <v>0</v>
      </c>
      <c r="BY97" s="19">
        <f t="shared" si="177"/>
        <v>0</v>
      </c>
      <c r="BZ97" s="19">
        <f t="shared" si="177"/>
        <v>0</v>
      </c>
      <c r="CA97" s="19">
        <f t="shared" si="177"/>
        <v>0</v>
      </c>
      <c r="CB97" s="19">
        <f t="shared" si="177"/>
        <v>0</v>
      </c>
      <c r="CC97" s="19">
        <f t="shared" si="177"/>
        <v>0</v>
      </c>
      <c r="CD97" s="19">
        <f t="shared" si="177"/>
        <v>0</v>
      </c>
      <c r="CE97" s="19">
        <f t="shared" si="177"/>
        <v>0</v>
      </c>
      <c r="CF97" s="19">
        <f t="shared" si="177"/>
        <v>0</v>
      </c>
      <c r="CG97" s="19">
        <f t="shared" si="177"/>
        <v>0</v>
      </c>
      <c r="CH97" s="19">
        <f t="shared" si="177"/>
        <v>0</v>
      </c>
      <c r="CI97" s="19">
        <f t="shared" si="177"/>
        <v>0</v>
      </c>
      <c r="CJ97" s="19">
        <f t="shared" si="177"/>
        <v>0</v>
      </c>
      <c r="CK97" s="19">
        <f t="shared" si="177"/>
        <v>0</v>
      </c>
      <c r="CL97" s="19">
        <f t="shared" si="177"/>
        <v>0</v>
      </c>
      <c r="CM97" s="19">
        <f t="shared" si="177"/>
        <v>0</v>
      </c>
      <c r="CN97" s="19"/>
      <c r="CO97" s="19">
        <f t="shared" ref="CO97:CV97" si="178">SUM(CO98:CO98)</f>
        <v>0</v>
      </c>
      <c r="CP97" s="75"/>
      <c r="CQ97" s="75"/>
      <c r="CR97" s="75"/>
      <c r="CS97" s="19">
        <f t="shared" si="178"/>
        <v>0</v>
      </c>
      <c r="CT97" s="19">
        <f t="shared" si="178"/>
        <v>0</v>
      </c>
      <c r="CU97" s="19">
        <f t="shared" si="178"/>
        <v>0</v>
      </c>
      <c r="CV97" s="20">
        <f t="shared" si="178"/>
        <v>0</v>
      </c>
      <c r="CW97" s="52"/>
    </row>
    <row r="98" spans="1:101" s="58" customFormat="1" ht="15.6" x14ac:dyDescent="0.3">
      <c r="A98" s="105" t="s">
        <v>1</v>
      </c>
      <c r="B98" s="21" t="s">
        <v>66</v>
      </c>
      <c r="C98" s="22" t="s">
        <v>498</v>
      </c>
      <c r="D98" s="19">
        <f>SUM(E98+BZ98+CS98)</f>
        <v>4540727</v>
      </c>
      <c r="E98" s="19">
        <f>SUM(F98+BA98)</f>
        <v>4540727</v>
      </c>
      <c r="F98" s="19">
        <f>SUM(G98+H98+I98+P98+S98+T98+U98+AE98+AD98)</f>
        <v>4540727</v>
      </c>
      <c r="G98" s="23">
        <v>3691305</v>
      </c>
      <c r="H98" s="23">
        <v>849422</v>
      </c>
      <c r="I98" s="19">
        <f t="shared" si="110"/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f t="shared" si="111"/>
        <v>0</v>
      </c>
      <c r="Q98" s="19">
        <v>0</v>
      </c>
      <c r="R98" s="19">
        <v>0</v>
      </c>
      <c r="S98" s="19">
        <v>0</v>
      </c>
      <c r="T98" s="19"/>
      <c r="U98" s="19">
        <f t="shared" ref="U98" si="179">SUM(V98:AC98)</f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f>SUM(AF98:AZ98)</f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/>
      <c r="AU98" s="19"/>
      <c r="AV98" s="19">
        <v>0</v>
      </c>
      <c r="AW98" s="19">
        <v>0</v>
      </c>
      <c r="AX98" s="19">
        <v>0</v>
      </c>
      <c r="AY98" s="19"/>
      <c r="AZ98" s="19">
        <v>0</v>
      </c>
      <c r="BA98" s="19">
        <f>SUM(BB98+BF98+BI98+BK98+BN98)</f>
        <v>0</v>
      </c>
      <c r="BB98" s="19">
        <f>SUM(BC98:BE98)</f>
        <v>0</v>
      </c>
      <c r="BC98" s="19">
        <v>0</v>
      </c>
      <c r="BD98" s="19">
        <v>0</v>
      </c>
      <c r="BE98" s="19">
        <v>0</v>
      </c>
      <c r="BF98" s="19">
        <f>SUM(BH98:BH98)</f>
        <v>0</v>
      </c>
      <c r="BG98" s="19">
        <v>0</v>
      </c>
      <c r="BH98" s="19">
        <v>0</v>
      </c>
      <c r="BI98" s="19">
        <v>0</v>
      </c>
      <c r="BJ98" s="19">
        <v>0</v>
      </c>
      <c r="BK98" s="19">
        <f t="shared" si="112"/>
        <v>0</v>
      </c>
      <c r="BL98" s="19">
        <v>0</v>
      </c>
      <c r="BM98" s="19">
        <v>0</v>
      </c>
      <c r="BN98" s="19">
        <f>SUM(BO98:BY98)</f>
        <v>0</v>
      </c>
      <c r="BO98" s="19">
        <v>0</v>
      </c>
      <c r="BP98" s="19">
        <v>0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19">
        <v>0</v>
      </c>
      <c r="BW98" s="19">
        <v>0</v>
      </c>
      <c r="BX98" s="19">
        <v>0</v>
      </c>
      <c r="BY98" s="19">
        <v>0</v>
      </c>
      <c r="BZ98" s="19">
        <f>SUM(CA98+CO98)</f>
        <v>0</v>
      </c>
      <c r="CA98" s="19">
        <f>SUM(CB98+CE98+CK98)</f>
        <v>0</v>
      </c>
      <c r="CB98" s="19">
        <f t="shared" si="113"/>
        <v>0</v>
      </c>
      <c r="CC98" s="19">
        <v>0</v>
      </c>
      <c r="CD98" s="19">
        <v>0</v>
      </c>
      <c r="CE98" s="19">
        <f>SUM(CF98:CJ98)</f>
        <v>0</v>
      </c>
      <c r="CF98" s="19">
        <v>0</v>
      </c>
      <c r="CG98" s="19">
        <v>0</v>
      </c>
      <c r="CH98" s="19">
        <v>0</v>
      </c>
      <c r="CI98" s="19">
        <v>0</v>
      </c>
      <c r="CJ98" s="19">
        <v>0</v>
      </c>
      <c r="CK98" s="19">
        <f>SUM(CL98:CN98)</f>
        <v>0</v>
      </c>
      <c r="CL98" s="19">
        <v>0</v>
      </c>
      <c r="CM98" s="19">
        <v>0</v>
      </c>
      <c r="CN98" s="19"/>
      <c r="CO98" s="19">
        <v>0</v>
      </c>
      <c r="CP98" s="75"/>
      <c r="CQ98" s="75"/>
      <c r="CR98" s="75"/>
      <c r="CS98" s="19">
        <f t="shared" si="114"/>
        <v>0</v>
      </c>
      <c r="CT98" s="19">
        <f t="shared" si="115"/>
        <v>0</v>
      </c>
      <c r="CU98" s="19">
        <v>0</v>
      </c>
      <c r="CV98" s="20">
        <v>0</v>
      </c>
      <c r="CW98" s="52"/>
    </row>
    <row r="99" spans="1:101" ht="46.8" x14ac:dyDescent="0.3">
      <c r="A99" s="106" t="s">
        <v>170</v>
      </c>
      <c r="B99" s="25" t="s">
        <v>1</v>
      </c>
      <c r="C99" s="26" t="s">
        <v>171</v>
      </c>
      <c r="D99" s="27">
        <f>SUM(D100+D102+D104)</f>
        <v>15178746</v>
      </c>
      <c r="E99" s="27">
        <f t="shared" ref="E99:BQ99" si="180">SUM(E100+E102+E104)</f>
        <v>15178746</v>
      </c>
      <c r="F99" s="27">
        <f t="shared" si="180"/>
        <v>15178746</v>
      </c>
      <c r="G99" s="27">
        <f t="shared" si="180"/>
        <v>3891282</v>
      </c>
      <c r="H99" s="27">
        <f t="shared" si="180"/>
        <v>967704</v>
      </c>
      <c r="I99" s="27">
        <f t="shared" si="180"/>
        <v>16819</v>
      </c>
      <c r="J99" s="27">
        <f t="shared" si="180"/>
        <v>0</v>
      </c>
      <c r="K99" s="27">
        <f t="shared" si="180"/>
        <v>0</v>
      </c>
      <c r="L99" s="27">
        <f t="shared" si="180"/>
        <v>0</v>
      </c>
      <c r="M99" s="27">
        <f t="shared" si="180"/>
        <v>0</v>
      </c>
      <c r="N99" s="27">
        <f t="shared" si="180"/>
        <v>16819</v>
      </c>
      <c r="O99" s="27">
        <f t="shared" si="180"/>
        <v>0</v>
      </c>
      <c r="P99" s="27">
        <f t="shared" si="180"/>
        <v>0</v>
      </c>
      <c r="Q99" s="27">
        <f t="shared" si="180"/>
        <v>0</v>
      </c>
      <c r="R99" s="27">
        <f t="shared" si="180"/>
        <v>0</v>
      </c>
      <c r="S99" s="27">
        <f t="shared" si="180"/>
        <v>0</v>
      </c>
      <c r="T99" s="27">
        <f t="shared" si="180"/>
        <v>31000</v>
      </c>
      <c r="U99" s="27">
        <f t="shared" si="180"/>
        <v>38080</v>
      </c>
      <c r="V99" s="27">
        <f t="shared" si="180"/>
        <v>0</v>
      </c>
      <c r="W99" s="27">
        <f t="shared" si="180"/>
        <v>10301</v>
      </c>
      <c r="X99" s="27">
        <f t="shared" si="180"/>
        <v>27779</v>
      </c>
      <c r="Y99" s="27">
        <f t="shared" si="180"/>
        <v>0</v>
      </c>
      <c r="Z99" s="27">
        <f t="shared" si="180"/>
        <v>0</v>
      </c>
      <c r="AA99" s="27">
        <f t="shared" si="180"/>
        <v>0</v>
      </c>
      <c r="AB99" s="27">
        <f t="shared" si="180"/>
        <v>0</v>
      </c>
      <c r="AC99" s="27">
        <f t="shared" si="180"/>
        <v>0</v>
      </c>
      <c r="AD99" s="27">
        <f t="shared" si="180"/>
        <v>0</v>
      </c>
      <c r="AE99" s="27">
        <f t="shared" si="180"/>
        <v>10233861</v>
      </c>
      <c r="AF99" s="27">
        <f t="shared" si="180"/>
        <v>0</v>
      </c>
      <c r="AG99" s="27">
        <f t="shared" si="180"/>
        <v>0</v>
      </c>
      <c r="AH99" s="27">
        <f t="shared" si="180"/>
        <v>0</v>
      </c>
      <c r="AI99" s="27">
        <f t="shared" si="180"/>
        <v>0</v>
      </c>
      <c r="AJ99" s="27">
        <f t="shared" si="180"/>
        <v>0</v>
      </c>
      <c r="AK99" s="27">
        <f t="shared" si="180"/>
        <v>0</v>
      </c>
      <c r="AL99" s="27">
        <f t="shared" si="180"/>
        <v>0</v>
      </c>
      <c r="AM99" s="27">
        <f t="shared" si="180"/>
        <v>0</v>
      </c>
      <c r="AN99" s="27">
        <f t="shared" si="180"/>
        <v>0</v>
      </c>
      <c r="AO99" s="27">
        <f t="shared" si="180"/>
        <v>0</v>
      </c>
      <c r="AP99" s="27">
        <f t="shared" si="180"/>
        <v>0</v>
      </c>
      <c r="AQ99" s="27">
        <f t="shared" si="180"/>
        <v>0</v>
      </c>
      <c r="AR99" s="27">
        <f t="shared" si="180"/>
        <v>0</v>
      </c>
      <c r="AS99" s="27">
        <f t="shared" si="180"/>
        <v>0</v>
      </c>
      <c r="AT99" s="27">
        <f t="shared" si="180"/>
        <v>0</v>
      </c>
      <c r="AU99" s="27">
        <f t="shared" si="180"/>
        <v>0</v>
      </c>
      <c r="AV99" s="27">
        <f t="shared" si="180"/>
        <v>0</v>
      </c>
      <c r="AW99" s="27">
        <f t="shared" si="180"/>
        <v>0</v>
      </c>
      <c r="AX99" s="27">
        <f t="shared" si="180"/>
        <v>0</v>
      </c>
      <c r="AY99" s="27">
        <f t="shared" si="180"/>
        <v>0</v>
      </c>
      <c r="AZ99" s="27">
        <f t="shared" si="180"/>
        <v>10233861</v>
      </c>
      <c r="BA99" s="27">
        <f t="shared" si="180"/>
        <v>0</v>
      </c>
      <c r="BB99" s="27">
        <f t="shared" si="180"/>
        <v>0</v>
      </c>
      <c r="BC99" s="27">
        <f t="shared" si="180"/>
        <v>0</v>
      </c>
      <c r="BD99" s="27">
        <f t="shared" si="180"/>
        <v>0</v>
      </c>
      <c r="BE99" s="27">
        <f t="shared" si="180"/>
        <v>0</v>
      </c>
      <c r="BF99" s="27">
        <f t="shared" si="180"/>
        <v>0</v>
      </c>
      <c r="BG99" s="27">
        <f t="shared" si="180"/>
        <v>0</v>
      </c>
      <c r="BH99" s="27">
        <f t="shared" si="180"/>
        <v>0</v>
      </c>
      <c r="BI99" s="27">
        <f t="shared" si="180"/>
        <v>0</v>
      </c>
      <c r="BJ99" s="27">
        <f t="shared" ref="BJ99" si="181">SUM(BJ100+BJ102+BJ104)</f>
        <v>0</v>
      </c>
      <c r="BK99" s="27">
        <f t="shared" si="180"/>
        <v>0</v>
      </c>
      <c r="BL99" s="27">
        <f t="shared" si="180"/>
        <v>0</v>
      </c>
      <c r="BM99" s="27">
        <f t="shared" si="180"/>
        <v>0</v>
      </c>
      <c r="BN99" s="27">
        <f t="shared" si="180"/>
        <v>0</v>
      </c>
      <c r="BO99" s="27">
        <f t="shared" si="180"/>
        <v>0</v>
      </c>
      <c r="BP99" s="27">
        <f t="shared" si="180"/>
        <v>0</v>
      </c>
      <c r="BQ99" s="27">
        <f t="shared" si="180"/>
        <v>0</v>
      </c>
      <c r="BR99" s="27">
        <f t="shared" ref="BR99:CV99" si="182">SUM(BR100+BR102+BR104)</f>
        <v>0</v>
      </c>
      <c r="BS99" s="27">
        <f t="shared" si="182"/>
        <v>0</v>
      </c>
      <c r="BT99" s="27">
        <f t="shared" si="182"/>
        <v>0</v>
      </c>
      <c r="BU99" s="27">
        <f t="shared" si="182"/>
        <v>0</v>
      </c>
      <c r="BV99" s="27">
        <f t="shared" si="182"/>
        <v>0</v>
      </c>
      <c r="BW99" s="27">
        <f t="shared" si="182"/>
        <v>0</v>
      </c>
      <c r="BX99" s="27">
        <f t="shared" si="182"/>
        <v>0</v>
      </c>
      <c r="BY99" s="27">
        <f t="shared" si="182"/>
        <v>0</v>
      </c>
      <c r="BZ99" s="27">
        <f t="shared" si="182"/>
        <v>0</v>
      </c>
      <c r="CA99" s="27">
        <f t="shared" si="182"/>
        <v>0</v>
      </c>
      <c r="CB99" s="27">
        <f t="shared" si="182"/>
        <v>0</v>
      </c>
      <c r="CC99" s="27">
        <f t="shared" si="182"/>
        <v>0</v>
      </c>
      <c r="CD99" s="27">
        <f t="shared" si="182"/>
        <v>0</v>
      </c>
      <c r="CE99" s="27">
        <f t="shared" si="182"/>
        <v>0</v>
      </c>
      <c r="CF99" s="27">
        <f t="shared" si="182"/>
        <v>0</v>
      </c>
      <c r="CG99" s="27">
        <f t="shared" si="182"/>
        <v>0</v>
      </c>
      <c r="CH99" s="27">
        <f t="shared" si="182"/>
        <v>0</v>
      </c>
      <c r="CI99" s="27">
        <f t="shared" si="182"/>
        <v>0</v>
      </c>
      <c r="CJ99" s="27">
        <f t="shared" si="182"/>
        <v>0</v>
      </c>
      <c r="CK99" s="27">
        <f t="shared" si="182"/>
        <v>0</v>
      </c>
      <c r="CL99" s="27">
        <f t="shared" si="182"/>
        <v>0</v>
      </c>
      <c r="CM99" s="27">
        <f t="shared" si="182"/>
        <v>0</v>
      </c>
      <c r="CN99" s="27">
        <f t="shared" si="182"/>
        <v>0</v>
      </c>
      <c r="CO99" s="27">
        <f t="shared" si="182"/>
        <v>0</v>
      </c>
      <c r="CP99" s="27">
        <f t="shared" si="182"/>
        <v>0</v>
      </c>
      <c r="CQ99" s="27">
        <f t="shared" si="182"/>
        <v>0</v>
      </c>
      <c r="CR99" s="27">
        <f t="shared" si="182"/>
        <v>0</v>
      </c>
      <c r="CS99" s="27">
        <f t="shared" si="182"/>
        <v>0</v>
      </c>
      <c r="CT99" s="27">
        <f t="shared" si="182"/>
        <v>0</v>
      </c>
      <c r="CU99" s="27">
        <f t="shared" si="182"/>
        <v>0</v>
      </c>
      <c r="CV99" s="60">
        <f t="shared" si="182"/>
        <v>0</v>
      </c>
      <c r="CW99" s="57"/>
    </row>
    <row r="100" spans="1:101" ht="15.6" x14ac:dyDescent="0.3">
      <c r="A100" s="104" t="s">
        <v>172</v>
      </c>
      <c r="B100" s="16" t="s">
        <v>1</v>
      </c>
      <c r="C100" s="17" t="s">
        <v>173</v>
      </c>
      <c r="D100" s="18">
        <f t="shared" ref="D100:AI100" si="183">SUM(D101:D101)</f>
        <v>8765811</v>
      </c>
      <c r="E100" s="19">
        <f t="shared" si="183"/>
        <v>8765811</v>
      </c>
      <c r="F100" s="19">
        <f t="shared" si="183"/>
        <v>8765811</v>
      </c>
      <c r="G100" s="19">
        <f t="shared" si="183"/>
        <v>0</v>
      </c>
      <c r="H100" s="19">
        <f t="shared" si="183"/>
        <v>0</v>
      </c>
      <c r="I100" s="19">
        <f t="shared" si="183"/>
        <v>0</v>
      </c>
      <c r="J100" s="19">
        <f t="shared" si="183"/>
        <v>0</v>
      </c>
      <c r="K100" s="19">
        <f t="shared" si="183"/>
        <v>0</v>
      </c>
      <c r="L100" s="19">
        <f t="shared" si="183"/>
        <v>0</v>
      </c>
      <c r="M100" s="19">
        <f t="shared" si="183"/>
        <v>0</v>
      </c>
      <c r="N100" s="19">
        <f t="shared" si="183"/>
        <v>0</v>
      </c>
      <c r="O100" s="19">
        <f t="shared" si="183"/>
        <v>0</v>
      </c>
      <c r="P100" s="19">
        <f t="shared" si="183"/>
        <v>0</v>
      </c>
      <c r="Q100" s="19">
        <f t="shared" si="183"/>
        <v>0</v>
      </c>
      <c r="R100" s="19">
        <f t="shared" si="183"/>
        <v>0</v>
      </c>
      <c r="S100" s="19">
        <f t="shared" si="183"/>
        <v>0</v>
      </c>
      <c r="T100" s="19">
        <f t="shared" si="183"/>
        <v>0</v>
      </c>
      <c r="U100" s="19">
        <f t="shared" si="183"/>
        <v>0</v>
      </c>
      <c r="V100" s="19">
        <f t="shared" si="183"/>
        <v>0</v>
      </c>
      <c r="W100" s="19">
        <f t="shared" si="183"/>
        <v>0</v>
      </c>
      <c r="X100" s="19">
        <f t="shared" si="183"/>
        <v>0</v>
      </c>
      <c r="Y100" s="19">
        <f t="shared" si="183"/>
        <v>0</v>
      </c>
      <c r="Z100" s="19">
        <f t="shared" si="183"/>
        <v>0</v>
      </c>
      <c r="AA100" s="19">
        <f t="shared" si="183"/>
        <v>0</v>
      </c>
      <c r="AB100" s="19">
        <f t="shared" si="183"/>
        <v>0</v>
      </c>
      <c r="AC100" s="19">
        <f t="shared" si="183"/>
        <v>0</v>
      </c>
      <c r="AD100" s="19">
        <f t="shared" si="183"/>
        <v>0</v>
      </c>
      <c r="AE100" s="19">
        <f t="shared" si="183"/>
        <v>8765811</v>
      </c>
      <c r="AF100" s="19">
        <f t="shared" si="183"/>
        <v>0</v>
      </c>
      <c r="AG100" s="19">
        <f t="shared" si="183"/>
        <v>0</v>
      </c>
      <c r="AH100" s="19">
        <f t="shared" si="183"/>
        <v>0</v>
      </c>
      <c r="AI100" s="19">
        <f t="shared" si="183"/>
        <v>0</v>
      </c>
      <c r="AJ100" s="19">
        <f t="shared" ref="AJ100:BP100" si="184">SUM(AJ101:AJ101)</f>
        <v>0</v>
      </c>
      <c r="AK100" s="19">
        <f t="shared" si="184"/>
        <v>0</v>
      </c>
      <c r="AL100" s="19">
        <f t="shared" si="184"/>
        <v>0</v>
      </c>
      <c r="AM100" s="19">
        <f t="shared" si="184"/>
        <v>0</v>
      </c>
      <c r="AN100" s="19">
        <f t="shared" si="184"/>
        <v>0</v>
      </c>
      <c r="AO100" s="19">
        <f t="shared" si="184"/>
        <v>0</v>
      </c>
      <c r="AP100" s="19">
        <f t="shared" si="184"/>
        <v>0</v>
      </c>
      <c r="AQ100" s="19">
        <f t="shared" si="184"/>
        <v>0</v>
      </c>
      <c r="AR100" s="19">
        <f t="shared" si="184"/>
        <v>0</v>
      </c>
      <c r="AS100" s="19">
        <f t="shared" si="184"/>
        <v>0</v>
      </c>
      <c r="AT100" s="19">
        <f t="shared" si="184"/>
        <v>0</v>
      </c>
      <c r="AU100" s="19">
        <f t="shared" si="184"/>
        <v>0</v>
      </c>
      <c r="AV100" s="19">
        <f t="shared" si="184"/>
        <v>0</v>
      </c>
      <c r="AW100" s="19">
        <f t="shared" si="184"/>
        <v>0</v>
      </c>
      <c r="AX100" s="19">
        <f t="shared" si="184"/>
        <v>0</v>
      </c>
      <c r="AY100" s="19">
        <f t="shared" si="184"/>
        <v>0</v>
      </c>
      <c r="AZ100" s="19">
        <f t="shared" si="184"/>
        <v>8765811</v>
      </c>
      <c r="BA100" s="19">
        <f t="shared" si="184"/>
        <v>0</v>
      </c>
      <c r="BB100" s="19">
        <f t="shared" si="184"/>
        <v>0</v>
      </c>
      <c r="BC100" s="19">
        <f t="shared" si="184"/>
        <v>0</v>
      </c>
      <c r="BD100" s="19">
        <f t="shared" si="184"/>
        <v>0</v>
      </c>
      <c r="BE100" s="19">
        <f t="shared" si="184"/>
        <v>0</v>
      </c>
      <c r="BF100" s="19">
        <f t="shared" si="184"/>
        <v>0</v>
      </c>
      <c r="BG100" s="19">
        <f t="shared" si="184"/>
        <v>0</v>
      </c>
      <c r="BH100" s="19">
        <f t="shared" si="184"/>
        <v>0</v>
      </c>
      <c r="BI100" s="19">
        <f t="shared" si="184"/>
        <v>0</v>
      </c>
      <c r="BJ100" s="19">
        <f t="shared" si="184"/>
        <v>0</v>
      </c>
      <c r="BK100" s="19">
        <f t="shared" si="184"/>
        <v>0</v>
      </c>
      <c r="BL100" s="19">
        <f t="shared" si="184"/>
        <v>0</v>
      </c>
      <c r="BM100" s="19">
        <f t="shared" si="184"/>
        <v>0</v>
      </c>
      <c r="BN100" s="19">
        <f t="shared" si="184"/>
        <v>0</v>
      </c>
      <c r="BO100" s="19">
        <f t="shared" si="184"/>
        <v>0</v>
      </c>
      <c r="BP100" s="19">
        <f t="shared" si="184"/>
        <v>0</v>
      </c>
      <c r="BQ100" s="19">
        <f t="shared" ref="BQ100:CV100" si="185">SUM(BQ101:BQ101)</f>
        <v>0</v>
      </c>
      <c r="BR100" s="19">
        <f t="shared" si="185"/>
        <v>0</v>
      </c>
      <c r="BS100" s="19">
        <f t="shared" si="185"/>
        <v>0</v>
      </c>
      <c r="BT100" s="19">
        <f t="shared" si="185"/>
        <v>0</v>
      </c>
      <c r="BU100" s="19">
        <f t="shared" si="185"/>
        <v>0</v>
      </c>
      <c r="BV100" s="19">
        <f t="shared" si="185"/>
        <v>0</v>
      </c>
      <c r="BW100" s="19">
        <f t="shared" si="185"/>
        <v>0</v>
      </c>
      <c r="BX100" s="19">
        <f t="shared" si="185"/>
        <v>0</v>
      </c>
      <c r="BY100" s="19">
        <f t="shared" si="185"/>
        <v>0</v>
      </c>
      <c r="BZ100" s="19">
        <f t="shared" si="185"/>
        <v>0</v>
      </c>
      <c r="CA100" s="19">
        <f t="shared" si="185"/>
        <v>0</v>
      </c>
      <c r="CB100" s="19">
        <f t="shared" si="185"/>
        <v>0</v>
      </c>
      <c r="CC100" s="19">
        <f t="shared" si="185"/>
        <v>0</v>
      </c>
      <c r="CD100" s="19">
        <f t="shared" si="185"/>
        <v>0</v>
      </c>
      <c r="CE100" s="19">
        <f t="shared" si="185"/>
        <v>0</v>
      </c>
      <c r="CF100" s="19">
        <f t="shared" si="185"/>
        <v>0</v>
      </c>
      <c r="CG100" s="19">
        <f t="shared" si="185"/>
        <v>0</v>
      </c>
      <c r="CH100" s="19">
        <f t="shared" si="185"/>
        <v>0</v>
      </c>
      <c r="CI100" s="19">
        <f t="shared" si="185"/>
        <v>0</v>
      </c>
      <c r="CJ100" s="19">
        <f t="shared" si="185"/>
        <v>0</v>
      </c>
      <c r="CK100" s="19">
        <f t="shared" si="185"/>
        <v>0</v>
      </c>
      <c r="CL100" s="19">
        <f t="shared" si="185"/>
        <v>0</v>
      </c>
      <c r="CM100" s="19">
        <f t="shared" si="185"/>
        <v>0</v>
      </c>
      <c r="CN100" s="19">
        <f t="shared" si="185"/>
        <v>0</v>
      </c>
      <c r="CO100" s="19">
        <f t="shared" si="185"/>
        <v>0</v>
      </c>
      <c r="CP100" s="75"/>
      <c r="CQ100" s="75"/>
      <c r="CR100" s="75"/>
      <c r="CS100" s="19">
        <f t="shared" si="185"/>
        <v>0</v>
      </c>
      <c r="CT100" s="19">
        <f t="shared" si="185"/>
        <v>0</v>
      </c>
      <c r="CU100" s="19">
        <f t="shared" si="185"/>
        <v>0</v>
      </c>
      <c r="CV100" s="20">
        <f t="shared" si="185"/>
        <v>0</v>
      </c>
      <c r="CW100" s="52"/>
    </row>
    <row r="101" spans="1:101" ht="31.2" x14ac:dyDescent="0.3">
      <c r="A101" s="105" t="s">
        <v>1</v>
      </c>
      <c r="B101" s="21" t="s">
        <v>74</v>
      </c>
      <c r="C101" s="22" t="s">
        <v>467</v>
      </c>
      <c r="D101" s="19">
        <f>SUM(E101+BZ101+CS101)</f>
        <v>8765811</v>
      </c>
      <c r="E101" s="19">
        <f>SUM(F101+BA101)</f>
        <v>8765811</v>
      </c>
      <c r="F101" s="19">
        <f>SUM(G101+H101+I101+P101+S101+T101+U101+AE101+AD101)</f>
        <v>8765811</v>
      </c>
      <c r="G101" s="19">
        <v>0</v>
      </c>
      <c r="H101" s="19">
        <v>0</v>
      </c>
      <c r="I101" s="19">
        <f t="shared" ref="I101" si="186">SUM(J101:O101)</f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ref="P101" si="187">SUM(Q101:R101)</f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f>SUM(AF101:AZ101)</f>
        <v>8765811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23">
        <v>8765811</v>
      </c>
      <c r="BA101" s="19">
        <f>SUM(BB101+BF101+BI101+BK101+BN101)</f>
        <v>0</v>
      </c>
      <c r="BB101" s="19">
        <f>SUM(BC101:BE101)</f>
        <v>0</v>
      </c>
      <c r="BC101" s="19">
        <v>0</v>
      </c>
      <c r="BD101" s="19">
        <v>0</v>
      </c>
      <c r="BE101" s="19">
        <v>0</v>
      </c>
      <c r="BF101" s="39">
        <f>SUM(BG101:BH101)</f>
        <v>0</v>
      </c>
      <c r="BG101" s="19"/>
      <c r="BH101" s="19">
        <v>0</v>
      </c>
      <c r="BI101" s="19">
        <v>0</v>
      </c>
      <c r="BJ101" s="19">
        <v>0</v>
      </c>
      <c r="BK101" s="19">
        <f t="shared" ref="BK101" si="188">SUM(BL101)</f>
        <v>0</v>
      </c>
      <c r="BL101" s="19">
        <v>0</v>
      </c>
      <c r="BM101" s="19">
        <v>0</v>
      </c>
      <c r="BN101" s="19">
        <f>SUM(BO101:BY101)</f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f>SUM(CA101+CO101)</f>
        <v>0</v>
      </c>
      <c r="CA101" s="19">
        <f>SUM(CB101+CE101+CK101)</f>
        <v>0</v>
      </c>
      <c r="CB101" s="19">
        <f t="shared" ref="CB101" si="189">SUM(CC101:CD101)</f>
        <v>0</v>
      </c>
      <c r="CC101" s="19">
        <v>0</v>
      </c>
      <c r="CD101" s="19">
        <v>0</v>
      </c>
      <c r="CE101" s="19">
        <f>SUM(CF101:CJ101)</f>
        <v>0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f>SUM(CL101:CN101)</f>
        <v>0</v>
      </c>
      <c r="CL101" s="19">
        <v>0</v>
      </c>
      <c r="CM101" s="19">
        <v>0</v>
      </c>
      <c r="CN101" s="19"/>
      <c r="CO101" s="19">
        <v>0</v>
      </c>
      <c r="CP101" s="75"/>
      <c r="CQ101" s="75"/>
      <c r="CR101" s="75"/>
      <c r="CS101" s="19">
        <f t="shared" ref="CS101" si="190">SUM(CT101)</f>
        <v>0</v>
      </c>
      <c r="CT101" s="19">
        <f t="shared" ref="CT101" si="191">SUM(CU101:CV101)</f>
        <v>0</v>
      </c>
      <c r="CU101" s="19">
        <v>0</v>
      </c>
      <c r="CV101" s="20">
        <v>0</v>
      </c>
      <c r="CW101" s="52"/>
    </row>
    <row r="102" spans="1:101" ht="15.6" x14ac:dyDescent="0.3">
      <c r="A102" s="104" t="s">
        <v>535</v>
      </c>
      <c r="B102" s="16" t="s">
        <v>1</v>
      </c>
      <c r="C102" s="17" t="s">
        <v>536</v>
      </c>
      <c r="D102" s="18">
        <f t="shared" ref="D102:AK104" si="192">SUM(D103)</f>
        <v>1468050</v>
      </c>
      <c r="E102" s="19">
        <f t="shared" si="192"/>
        <v>1468050</v>
      </c>
      <c r="F102" s="19">
        <f t="shared" si="192"/>
        <v>1468050</v>
      </c>
      <c r="G102" s="19">
        <f t="shared" si="192"/>
        <v>0</v>
      </c>
      <c r="H102" s="19">
        <f t="shared" si="192"/>
        <v>0</v>
      </c>
      <c r="I102" s="19">
        <f t="shared" si="192"/>
        <v>0</v>
      </c>
      <c r="J102" s="19">
        <f t="shared" si="192"/>
        <v>0</v>
      </c>
      <c r="K102" s="19">
        <f t="shared" si="192"/>
        <v>0</v>
      </c>
      <c r="L102" s="19">
        <f t="shared" si="192"/>
        <v>0</v>
      </c>
      <c r="M102" s="19">
        <f t="shared" si="192"/>
        <v>0</v>
      </c>
      <c r="N102" s="19">
        <f t="shared" si="192"/>
        <v>0</v>
      </c>
      <c r="O102" s="19">
        <f t="shared" si="192"/>
        <v>0</v>
      </c>
      <c r="P102" s="19">
        <f t="shared" si="192"/>
        <v>0</v>
      </c>
      <c r="Q102" s="19">
        <f t="shared" si="192"/>
        <v>0</v>
      </c>
      <c r="R102" s="19">
        <f t="shared" si="192"/>
        <v>0</v>
      </c>
      <c r="S102" s="19">
        <f t="shared" si="192"/>
        <v>0</v>
      </c>
      <c r="T102" s="19">
        <f t="shared" si="192"/>
        <v>0</v>
      </c>
      <c r="U102" s="19">
        <f t="shared" si="192"/>
        <v>0</v>
      </c>
      <c r="V102" s="19">
        <f t="shared" si="192"/>
        <v>0</v>
      </c>
      <c r="W102" s="19">
        <f t="shared" si="192"/>
        <v>0</v>
      </c>
      <c r="X102" s="19">
        <f t="shared" si="192"/>
        <v>0</v>
      </c>
      <c r="Y102" s="19">
        <f t="shared" si="192"/>
        <v>0</v>
      </c>
      <c r="Z102" s="19">
        <f t="shared" si="192"/>
        <v>0</v>
      </c>
      <c r="AA102" s="19">
        <f t="shared" si="192"/>
        <v>0</v>
      </c>
      <c r="AB102" s="19">
        <f t="shared" si="192"/>
        <v>0</v>
      </c>
      <c r="AC102" s="19">
        <f t="shared" si="192"/>
        <v>0</v>
      </c>
      <c r="AD102" s="19">
        <f t="shared" si="192"/>
        <v>0</v>
      </c>
      <c r="AE102" s="19">
        <f t="shared" si="192"/>
        <v>1468050</v>
      </c>
      <c r="AF102" s="19">
        <f t="shared" si="192"/>
        <v>0</v>
      </c>
      <c r="AG102" s="19">
        <f t="shared" si="192"/>
        <v>0</v>
      </c>
      <c r="AH102" s="19">
        <f t="shared" si="192"/>
        <v>0</v>
      </c>
      <c r="AI102" s="19">
        <f t="shared" si="192"/>
        <v>0</v>
      </c>
      <c r="AJ102" s="19">
        <f t="shared" si="192"/>
        <v>0</v>
      </c>
      <c r="AK102" s="19">
        <f t="shared" si="192"/>
        <v>0</v>
      </c>
      <c r="AL102" s="19">
        <f t="shared" ref="AL102:CV104" si="193">SUM(AL103)</f>
        <v>0</v>
      </c>
      <c r="AM102" s="19">
        <f t="shared" si="193"/>
        <v>0</v>
      </c>
      <c r="AN102" s="19">
        <f t="shared" si="193"/>
        <v>0</v>
      </c>
      <c r="AO102" s="19">
        <f t="shared" si="193"/>
        <v>0</v>
      </c>
      <c r="AP102" s="19">
        <f t="shared" si="193"/>
        <v>0</v>
      </c>
      <c r="AQ102" s="19">
        <f t="shared" si="193"/>
        <v>0</v>
      </c>
      <c r="AR102" s="19">
        <f t="shared" si="193"/>
        <v>0</v>
      </c>
      <c r="AS102" s="19">
        <f t="shared" si="193"/>
        <v>0</v>
      </c>
      <c r="AT102" s="19"/>
      <c r="AU102" s="19"/>
      <c r="AV102" s="19">
        <f t="shared" si="193"/>
        <v>0</v>
      </c>
      <c r="AW102" s="19">
        <f t="shared" si="193"/>
        <v>0</v>
      </c>
      <c r="AX102" s="19">
        <f t="shared" si="193"/>
        <v>0</v>
      </c>
      <c r="AY102" s="19"/>
      <c r="AZ102" s="19">
        <f t="shared" si="193"/>
        <v>1468050</v>
      </c>
      <c r="BA102" s="19">
        <f t="shared" si="193"/>
        <v>0</v>
      </c>
      <c r="BB102" s="19">
        <f t="shared" si="193"/>
        <v>0</v>
      </c>
      <c r="BC102" s="19">
        <f t="shared" si="193"/>
        <v>0</v>
      </c>
      <c r="BD102" s="19">
        <f t="shared" si="193"/>
        <v>0</v>
      </c>
      <c r="BE102" s="19">
        <f t="shared" si="193"/>
        <v>0</v>
      </c>
      <c r="BF102" s="19">
        <f t="shared" si="193"/>
        <v>0</v>
      </c>
      <c r="BG102" s="19">
        <f t="shared" si="193"/>
        <v>0</v>
      </c>
      <c r="BH102" s="19">
        <f t="shared" si="193"/>
        <v>0</v>
      </c>
      <c r="BI102" s="19">
        <f t="shared" si="193"/>
        <v>0</v>
      </c>
      <c r="BJ102" s="19">
        <f t="shared" si="193"/>
        <v>0</v>
      </c>
      <c r="BK102" s="19">
        <f t="shared" si="193"/>
        <v>0</v>
      </c>
      <c r="BL102" s="19">
        <f t="shared" si="193"/>
        <v>0</v>
      </c>
      <c r="BM102" s="19">
        <f t="shared" si="193"/>
        <v>0</v>
      </c>
      <c r="BN102" s="19">
        <f t="shared" si="193"/>
        <v>0</v>
      </c>
      <c r="BO102" s="19">
        <f t="shared" si="193"/>
        <v>0</v>
      </c>
      <c r="BP102" s="19">
        <f t="shared" si="193"/>
        <v>0</v>
      </c>
      <c r="BQ102" s="19">
        <f t="shared" si="193"/>
        <v>0</v>
      </c>
      <c r="BR102" s="19">
        <f t="shared" si="193"/>
        <v>0</v>
      </c>
      <c r="BS102" s="19">
        <f t="shared" si="193"/>
        <v>0</v>
      </c>
      <c r="BT102" s="19">
        <f t="shared" si="193"/>
        <v>0</v>
      </c>
      <c r="BU102" s="19">
        <f t="shared" si="193"/>
        <v>0</v>
      </c>
      <c r="BV102" s="19">
        <f t="shared" si="193"/>
        <v>0</v>
      </c>
      <c r="BW102" s="19">
        <f t="shared" si="193"/>
        <v>0</v>
      </c>
      <c r="BX102" s="19">
        <f t="shared" si="193"/>
        <v>0</v>
      </c>
      <c r="BY102" s="19">
        <f t="shared" si="193"/>
        <v>0</v>
      </c>
      <c r="BZ102" s="19">
        <f t="shared" si="193"/>
        <v>0</v>
      </c>
      <c r="CA102" s="19">
        <f t="shared" si="193"/>
        <v>0</v>
      </c>
      <c r="CB102" s="19">
        <f t="shared" si="193"/>
        <v>0</v>
      </c>
      <c r="CC102" s="19">
        <f t="shared" si="193"/>
        <v>0</v>
      </c>
      <c r="CD102" s="19">
        <f t="shared" si="193"/>
        <v>0</v>
      </c>
      <c r="CE102" s="19">
        <f t="shared" si="193"/>
        <v>0</v>
      </c>
      <c r="CF102" s="19">
        <f t="shared" si="193"/>
        <v>0</v>
      </c>
      <c r="CG102" s="19">
        <f t="shared" si="193"/>
        <v>0</v>
      </c>
      <c r="CH102" s="19">
        <f t="shared" si="193"/>
        <v>0</v>
      </c>
      <c r="CI102" s="19">
        <f t="shared" si="193"/>
        <v>0</v>
      </c>
      <c r="CJ102" s="19">
        <f t="shared" si="193"/>
        <v>0</v>
      </c>
      <c r="CK102" s="19">
        <f t="shared" si="193"/>
        <v>0</v>
      </c>
      <c r="CL102" s="19">
        <f t="shared" si="193"/>
        <v>0</v>
      </c>
      <c r="CM102" s="19">
        <f t="shared" si="193"/>
        <v>0</v>
      </c>
      <c r="CN102" s="19"/>
      <c r="CO102" s="19">
        <f t="shared" si="193"/>
        <v>0</v>
      </c>
      <c r="CP102" s="75"/>
      <c r="CQ102" s="75"/>
      <c r="CR102" s="75"/>
      <c r="CS102" s="19">
        <f t="shared" si="193"/>
        <v>0</v>
      </c>
      <c r="CT102" s="19">
        <f t="shared" si="193"/>
        <v>0</v>
      </c>
      <c r="CU102" s="19">
        <f t="shared" si="193"/>
        <v>0</v>
      </c>
      <c r="CV102" s="20">
        <f t="shared" si="193"/>
        <v>0</v>
      </c>
      <c r="CW102" s="52"/>
    </row>
    <row r="103" spans="1:101" s="58" customFormat="1" ht="31.2" x14ac:dyDescent="0.3">
      <c r="A103" s="105" t="s">
        <v>1</v>
      </c>
      <c r="B103" s="21" t="s">
        <v>74</v>
      </c>
      <c r="C103" s="22" t="s">
        <v>537</v>
      </c>
      <c r="D103" s="19">
        <f>SUM(E103+BZ103+CS103)</f>
        <v>1468050</v>
      </c>
      <c r="E103" s="19">
        <f>SUM(F103+BA103)</f>
        <v>1468050</v>
      </c>
      <c r="F103" s="19">
        <f>SUM(G103+H103+I103+P103+S103+T103+U103+AE103+AD103)</f>
        <v>1468050</v>
      </c>
      <c r="G103" s="23"/>
      <c r="H103" s="23"/>
      <c r="I103" s="19">
        <f t="shared" ref="I103" si="194">SUM(J103:O103)</f>
        <v>0</v>
      </c>
      <c r="J103" s="19">
        <v>0</v>
      </c>
      <c r="K103" s="19">
        <v>0</v>
      </c>
      <c r="L103" s="19">
        <v>0</v>
      </c>
      <c r="M103" s="19"/>
      <c r="N103" s="23"/>
      <c r="O103" s="19">
        <v>0</v>
      </c>
      <c r="P103" s="19">
        <f t="shared" ref="P103" si="195">SUM(Q103:R103)</f>
        <v>0</v>
      </c>
      <c r="Q103" s="19">
        <v>0</v>
      </c>
      <c r="R103" s="19">
        <v>0</v>
      </c>
      <c r="S103" s="19">
        <v>0</v>
      </c>
      <c r="T103" s="23"/>
      <c r="U103" s="19">
        <f>SUM(V103:AC103)</f>
        <v>0</v>
      </c>
      <c r="V103" s="19">
        <v>0</v>
      </c>
      <c r="W103" s="23"/>
      <c r="X103" s="23"/>
      <c r="Y103" s="23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f>SUM(AF103:AZ103)</f>
        <v>1468050</v>
      </c>
      <c r="AF103" s="19">
        <v>0</v>
      </c>
      <c r="AG103" s="19">
        <v>0</v>
      </c>
      <c r="AH103" s="19">
        <v>0</v>
      </c>
      <c r="AI103" s="19"/>
      <c r="AJ103" s="19">
        <v>0</v>
      </c>
      <c r="AK103" s="19">
        <v>0</v>
      </c>
      <c r="AL103" s="19">
        <v>0</v>
      </c>
      <c r="AM103" s="19"/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/>
      <c r="AU103" s="19"/>
      <c r="AV103" s="19">
        <v>0</v>
      </c>
      <c r="AW103" s="19">
        <v>0</v>
      </c>
      <c r="AX103" s="19">
        <v>0</v>
      </c>
      <c r="AY103" s="19"/>
      <c r="AZ103" s="19">
        <v>1468050</v>
      </c>
      <c r="BA103" s="19">
        <f>SUM(BB103+BF103+BI103+BK103+BN103)</f>
        <v>0</v>
      </c>
      <c r="BB103" s="19">
        <f>SUM(BC103:BE103)</f>
        <v>0</v>
      </c>
      <c r="BC103" s="19">
        <v>0</v>
      </c>
      <c r="BD103" s="19">
        <v>0</v>
      </c>
      <c r="BE103" s="19">
        <v>0</v>
      </c>
      <c r="BF103" s="19">
        <f>SUM(BH103:BH103)</f>
        <v>0</v>
      </c>
      <c r="BG103" s="19">
        <v>0</v>
      </c>
      <c r="BH103" s="19">
        <v>0</v>
      </c>
      <c r="BI103" s="19">
        <v>0</v>
      </c>
      <c r="BJ103" s="19">
        <v>0</v>
      </c>
      <c r="BK103" s="19">
        <f t="shared" ref="BK103" si="196">SUM(BL103)</f>
        <v>0</v>
      </c>
      <c r="BL103" s="19">
        <v>0</v>
      </c>
      <c r="BM103" s="19">
        <v>0</v>
      </c>
      <c r="BN103" s="19">
        <f>SUM(BO103:BY103)</f>
        <v>0</v>
      </c>
      <c r="BO103" s="19">
        <v>0</v>
      </c>
      <c r="BP103" s="19">
        <v>0</v>
      </c>
      <c r="BQ103" s="19">
        <v>0</v>
      </c>
      <c r="BR103" s="19">
        <v>0</v>
      </c>
      <c r="BS103" s="19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9">
        <v>0</v>
      </c>
      <c r="BZ103" s="19">
        <f>SUM(CA103+CO103)</f>
        <v>0</v>
      </c>
      <c r="CA103" s="19">
        <f>SUM(CB103+CE103+CK103)</f>
        <v>0</v>
      </c>
      <c r="CB103" s="19">
        <f t="shared" ref="CB103" si="197">SUM(CC103:CD103)</f>
        <v>0</v>
      </c>
      <c r="CC103" s="19">
        <v>0</v>
      </c>
      <c r="CD103" s="23"/>
      <c r="CE103" s="19">
        <f>SUM(CF103:CJ103)</f>
        <v>0</v>
      </c>
      <c r="CF103" s="19">
        <v>0</v>
      </c>
      <c r="CG103" s="19">
        <v>0</v>
      </c>
      <c r="CH103" s="19">
        <v>0</v>
      </c>
      <c r="CI103" s="19">
        <v>0</v>
      </c>
      <c r="CJ103" s="19">
        <v>0</v>
      </c>
      <c r="CK103" s="19">
        <f>SUM(CL103:CN103)</f>
        <v>0</v>
      </c>
      <c r="CL103" s="19">
        <v>0</v>
      </c>
      <c r="CM103" s="19">
        <v>0</v>
      </c>
      <c r="CN103" s="19"/>
      <c r="CO103" s="19">
        <v>0</v>
      </c>
      <c r="CP103" s="75"/>
      <c r="CQ103" s="75"/>
      <c r="CR103" s="75"/>
      <c r="CS103" s="19">
        <f t="shared" ref="CS103" si="198">SUM(CT103)</f>
        <v>0</v>
      </c>
      <c r="CT103" s="19">
        <f t="shared" ref="CT103" si="199">SUM(CU103:CV103)</f>
        <v>0</v>
      </c>
      <c r="CU103" s="19">
        <v>0</v>
      </c>
      <c r="CV103" s="20">
        <v>0</v>
      </c>
      <c r="CW103" s="52"/>
    </row>
    <row r="104" spans="1:101" ht="15.6" x14ac:dyDescent="0.3">
      <c r="A104" s="104" t="s">
        <v>174</v>
      </c>
      <c r="B104" s="16" t="s">
        <v>1</v>
      </c>
      <c r="C104" s="17" t="s">
        <v>175</v>
      </c>
      <c r="D104" s="18">
        <f t="shared" si="192"/>
        <v>4944885</v>
      </c>
      <c r="E104" s="18">
        <f t="shared" si="192"/>
        <v>4944885</v>
      </c>
      <c r="F104" s="18">
        <f t="shared" si="192"/>
        <v>4944885</v>
      </c>
      <c r="G104" s="18">
        <f t="shared" si="192"/>
        <v>3891282</v>
      </c>
      <c r="H104" s="18">
        <f t="shared" si="192"/>
        <v>967704</v>
      </c>
      <c r="I104" s="18">
        <f t="shared" si="192"/>
        <v>16819</v>
      </c>
      <c r="J104" s="18">
        <f t="shared" si="192"/>
        <v>0</v>
      </c>
      <c r="K104" s="18">
        <f t="shared" si="192"/>
        <v>0</v>
      </c>
      <c r="L104" s="18">
        <f t="shared" si="192"/>
        <v>0</v>
      </c>
      <c r="M104" s="18">
        <f t="shared" si="192"/>
        <v>0</v>
      </c>
      <c r="N104" s="18">
        <f t="shared" si="192"/>
        <v>16819</v>
      </c>
      <c r="O104" s="18">
        <f t="shared" si="192"/>
        <v>0</v>
      </c>
      <c r="P104" s="18">
        <f t="shared" si="192"/>
        <v>0</v>
      </c>
      <c r="Q104" s="18">
        <f t="shared" si="192"/>
        <v>0</v>
      </c>
      <c r="R104" s="18">
        <f t="shared" si="192"/>
        <v>0</v>
      </c>
      <c r="S104" s="18">
        <f t="shared" si="192"/>
        <v>0</v>
      </c>
      <c r="T104" s="18">
        <f t="shared" si="192"/>
        <v>31000</v>
      </c>
      <c r="U104" s="18">
        <f t="shared" si="192"/>
        <v>38080</v>
      </c>
      <c r="V104" s="18">
        <f t="shared" si="192"/>
        <v>0</v>
      </c>
      <c r="W104" s="18">
        <f t="shared" si="192"/>
        <v>10301</v>
      </c>
      <c r="X104" s="18">
        <f t="shared" si="192"/>
        <v>27779</v>
      </c>
      <c r="Y104" s="18">
        <f t="shared" si="192"/>
        <v>0</v>
      </c>
      <c r="Z104" s="18">
        <f t="shared" si="192"/>
        <v>0</v>
      </c>
      <c r="AA104" s="18">
        <f t="shared" si="192"/>
        <v>0</v>
      </c>
      <c r="AB104" s="18">
        <f t="shared" si="192"/>
        <v>0</v>
      </c>
      <c r="AC104" s="18">
        <f t="shared" si="192"/>
        <v>0</v>
      </c>
      <c r="AD104" s="18">
        <f t="shared" si="192"/>
        <v>0</v>
      </c>
      <c r="AE104" s="18">
        <f t="shared" si="192"/>
        <v>0</v>
      </c>
      <c r="AF104" s="18">
        <f t="shared" si="192"/>
        <v>0</v>
      </c>
      <c r="AG104" s="18">
        <f t="shared" si="192"/>
        <v>0</v>
      </c>
      <c r="AH104" s="18">
        <f t="shared" si="192"/>
        <v>0</v>
      </c>
      <c r="AI104" s="18">
        <f t="shared" si="192"/>
        <v>0</v>
      </c>
      <c r="AJ104" s="18">
        <f t="shared" si="192"/>
        <v>0</v>
      </c>
      <c r="AK104" s="18">
        <f t="shared" si="192"/>
        <v>0</v>
      </c>
      <c r="AL104" s="18">
        <f t="shared" si="193"/>
        <v>0</v>
      </c>
      <c r="AM104" s="18">
        <f t="shared" si="193"/>
        <v>0</v>
      </c>
      <c r="AN104" s="18">
        <f t="shared" si="193"/>
        <v>0</v>
      </c>
      <c r="AO104" s="18">
        <f t="shared" si="193"/>
        <v>0</v>
      </c>
      <c r="AP104" s="18">
        <f t="shared" si="193"/>
        <v>0</v>
      </c>
      <c r="AQ104" s="18">
        <f t="shared" si="193"/>
        <v>0</v>
      </c>
      <c r="AR104" s="18">
        <f t="shared" si="193"/>
        <v>0</v>
      </c>
      <c r="AS104" s="18">
        <f t="shared" si="193"/>
        <v>0</v>
      </c>
      <c r="AT104" s="18"/>
      <c r="AU104" s="18"/>
      <c r="AV104" s="18">
        <f t="shared" si="193"/>
        <v>0</v>
      </c>
      <c r="AW104" s="18">
        <f t="shared" si="193"/>
        <v>0</v>
      </c>
      <c r="AX104" s="18">
        <f t="shared" si="193"/>
        <v>0</v>
      </c>
      <c r="AY104" s="18"/>
      <c r="AZ104" s="18">
        <f t="shared" si="193"/>
        <v>0</v>
      </c>
      <c r="BA104" s="18">
        <f t="shared" si="193"/>
        <v>0</v>
      </c>
      <c r="BB104" s="18">
        <f t="shared" si="193"/>
        <v>0</v>
      </c>
      <c r="BC104" s="18">
        <f t="shared" si="193"/>
        <v>0</v>
      </c>
      <c r="BD104" s="18">
        <f t="shared" si="193"/>
        <v>0</v>
      </c>
      <c r="BE104" s="18">
        <f t="shared" si="193"/>
        <v>0</v>
      </c>
      <c r="BF104" s="18">
        <f t="shared" si="193"/>
        <v>0</v>
      </c>
      <c r="BG104" s="18">
        <f t="shared" si="193"/>
        <v>0</v>
      </c>
      <c r="BH104" s="18">
        <f t="shared" si="193"/>
        <v>0</v>
      </c>
      <c r="BI104" s="18">
        <f t="shared" si="193"/>
        <v>0</v>
      </c>
      <c r="BJ104" s="18">
        <f t="shared" si="193"/>
        <v>0</v>
      </c>
      <c r="BK104" s="18">
        <f t="shared" si="193"/>
        <v>0</v>
      </c>
      <c r="BL104" s="18">
        <f t="shared" si="193"/>
        <v>0</v>
      </c>
      <c r="BM104" s="18">
        <f t="shared" si="193"/>
        <v>0</v>
      </c>
      <c r="BN104" s="18">
        <f t="shared" si="193"/>
        <v>0</v>
      </c>
      <c r="BO104" s="18">
        <f t="shared" si="193"/>
        <v>0</v>
      </c>
      <c r="BP104" s="18">
        <f t="shared" si="193"/>
        <v>0</v>
      </c>
      <c r="BQ104" s="18">
        <f t="shared" si="193"/>
        <v>0</v>
      </c>
      <c r="BR104" s="18">
        <f t="shared" si="193"/>
        <v>0</v>
      </c>
      <c r="BS104" s="18">
        <f t="shared" si="193"/>
        <v>0</v>
      </c>
      <c r="BT104" s="18">
        <f t="shared" si="193"/>
        <v>0</v>
      </c>
      <c r="BU104" s="18">
        <f t="shared" si="193"/>
        <v>0</v>
      </c>
      <c r="BV104" s="18">
        <f t="shared" si="193"/>
        <v>0</v>
      </c>
      <c r="BW104" s="18">
        <f t="shared" si="193"/>
        <v>0</v>
      </c>
      <c r="BX104" s="18">
        <f t="shared" si="193"/>
        <v>0</v>
      </c>
      <c r="BY104" s="18">
        <f t="shared" si="193"/>
        <v>0</v>
      </c>
      <c r="BZ104" s="18">
        <f t="shared" si="193"/>
        <v>0</v>
      </c>
      <c r="CA104" s="18">
        <f t="shared" si="193"/>
        <v>0</v>
      </c>
      <c r="CB104" s="18">
        <f t="shared" si="193"/>
        <v>0</v>
      </c>
      <c r="CC104" s="18">
        <f t="shared" si="193"/>
        <v>0</v>
      </c>
      <c r="CD104" s="18">
        <f t="shared" si="193"/>
        <v>0</v>
      </c>
      <c r="CE104" s="18">
        <f t="shared" si="193"/>
        <v>0</v>
      </c>
      <c r="CF104" s="18">
        <f t="shared" si="193"/>
        <v>0</v>
      </c>
      <c r="CG104" s="18">
        <f t="shared" si="193"/>
        <v>0</v>
      </c>
      <c r="CH104" s="18">
        <f t="shared" si="193"/>
        <v>0</v>
      </c>
      <c r="CI104" s="18">
        <f t="shared" si="193"/>
        <v>0</v>
      </c>
      <c r="CJ104" s="18">
        <f t="shared" si="193"/>
        <v>0</v>
      </c>
      <c r="CK104" s="18">
        <f t="shared" si="193"/>
        <v>0</v>
      </c>
      <c r="CL104" s="18">
        <f t="shared" si="193"/>
        <v>0</v>
      </c>
      <c r="CM104" s="18">
        <f t="shared" si="193"/>
        <v>0</v>
      </c>
      <c r="CN104" s="18"/>
      <c r="CO104" s="18">
        <f t="shared" si="193"/>
        <v>0</v>
      </c>
      <c r="CP104" s="74"/>
      <c r="CQ104" s="74"/>
      <c r="CR104" s="74"/>
      <c r="CS104" s="18">
        <f t="shared" si="193"/>
        <v>0</v>
      </c>
      <c r="CT104" s="18">
        <f t="shared" si="193"/>
        <v>0</v>
      </c>
      <c r="CU104" s="18">
        <f t="shared" si="193"/>
        <v>0</v>
      </c>
      <c r="CV104" s="46">
        <f t="shared" si="193"/>
        <v>0</v>
      </c>
      <c r="CW104" s="57"/>
    </row>
    <row r="105" spans="1:101" s="58" customFormat="1" ht="31.2" x14ac:dyDescent="0.3">
      <c r="A105" s="105" t="s">
        <v>1</v>
      </c>
      <c r="B105" s="21" t="s">
        <v>66</v>
      </c>
      <c r="C105" s="22" t="s">
        <v>499</v>
      </c>
      <c r="D105" s="19">
        <f>SUM(E105+BZ105+CS105)</f>
        <v>4944885</v>
      </c>
      <c r="E105" s="19">
        <f>SUM(F105+BA105)</f>
        <v>4944885</v>
      </c>
      <c r="F105" s="19">
        <f>SUM(G105+H105+I105+P105+S105+T105+U105+AE105+AD105)</f>
        <v>4944885</v>
      </c>
      <c r="G105" s="23">
        <v>3891282</v>
      </c>
      <c r="H105" s="23">
        <v>967704</v>
      </c>
      <c r="I105" s="19">
        <f t="shared" si="110"/>
        <v>16819</v>
      </c>
      <c r="J105" s="19">
        <v>0</v>
      </c>
      <c r="K105" s="19">
        <v>0</v>
      </c>
      <c r="L105" s="19">
        <v>0</v>
      </c>
      <c r="M105" s="19"/>
      <c r="N105" s="23">
        <v>16819</v>
      </c>
      <c r="O105" s="19">
        <v>0</v>
      </c>
      <c r="P105" s="19">
        <f t="shared" si="111"/>
        <v>0</v>
      </c>
      <c r="Q105" s="19">
        <v>0</v>
      </c>
      <c r="R105" s="19">
        <v>0</v>
      </c>
      <c r="S105" s="19">
        <v>0</v>
      </c>
      <c r="T105" s="23">
        <v>31000</v>
      </c>
      <c r="U105" s="19">
        <f>SUM(V105:AC105)</f>
        <v>38080</v>
      </c>
      <c r="V105" s="19">
        <v>0</v>
      </c>
      <c r="W105" s="23">
        <v>10301</v>
      </c>
      <c r="X105" s="23">
        <v>27779</v>
      </c>
      <c r="Y105" s="23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f>SUM(AF105:AZ105)</f>
        <v>0</v>
      </c>
      <c r="AF105" s="19">
        <v>0</v>
      </c>
      <c r="AG105" s="19">
        <v>0</v>
      </c>
      <c r="AH105" s="19">
        <v>0</v>
      </c>
      <c r="AI105" s="19"/>
      <c r="AJ105" s="19">
        <v>0</v>
      </c>
      <c r="AK105" s="19">
        <v>0</v>
      </c>
      <c r="AL105" s="19">
        <v>0</v>
      </c>
      <c r="AM105" s="19"/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/>
      <c r="AU105" s="19"/>
      <c r="AV105" s="19">
        <v>0</v>
      </c>
      <c r="AW105" s="19">
        <v>0</v>
      </c>
      <c r="AX105" s="19">
        <v>0</v>
      </c>
      <c r="AY105" s="19"/>
      <c r="AZ105" s="19">
        <v>0</v>
      </c>
      <c r="BA105" s="19">
        <f>SUM(BB105+BF105+BI105+BK105+BN105)</f>
        <v>0</v>
      </c>
      <c r="BB105" s="19">
        <f>SUM(BC105:BE105)</f>
        <v>0</v>
      </c>
      <c r="BC105" s="19">
        <v>0</v>
      </c>
      <c r="BD105" s="19">
        <v>0</v>
      </c>
      <c r="BE105" s="19">
        <v>0</v>
      </c>
      <c r="BF105" s="19">
        <f>SUM(BH105:BH105)</f>
        <v>0</v>
      </c>
      <c r="BG105" s="19">
        <v>0</v>
      </c>
      <c r="BH105" s="19">
        <v>0</v>
      </c>
      <c r="BI105" s="19">
        <v>0</v>
      </c>
      <c r="BJ105" s="19">
        <v>0</v>
      </c>
      <c r="BK105" s="19">
        <f t="shared" si="112"/>
        <v>0</v>
      </c>
      <c r="BL105" s="19">
        <v>0</v>
      </c>
      <c r="BM105" s="19">
        <v>0</v>
      </c>
      <c r="BN105" s="19">
        <f>SUM(BO105:BY105)</f>
        <v>0</v>
      </c>
      <c r="BO105" s="19"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9">
        <v>0</v>
      </c>
      <c r="BZ105" s="19">
        <f>SUM(CA105+CO105)</f>
        <v>0</v>
      </c>
      <c r="CA105" s="19">
        <f>SUM(CB105+CE105+CK105)</f>
        <v>0</v>
      </c>
      <c r="CB105" s="19">
        <f t="shared" si="113"/>
        <v>0</v>
      </c>
      <c r="CC105" s="19">
        <v>0</v>
      </c>
      <c r="CD105" s="23"/>
      <c r="CE105" s="19">
        <f>SUM(CF105:CJ105)</f>
        <v>0</v>
      </c>
      <c r="CF105" s="19">
        <v>0</v>
      </c>
      <c r="CG105" s="19">
        <v>0</v>
      </c>
      <c r="CH105" s="19">
        <v>0</v>
      </c>
      <c r="CI105" s="19">
        <v>0</v>
      </c>
      <c r="CJ105" s="19">
        <v>0</v>
      </c>
      <c r="CK105" s="19">
        <f>SUM(CL105:CN105)</f>
        <v>0</v>
      </c>
      <c r="CL105" s="19">
        <v>0</v>
      </c>
      <c r="CM105" s="19">
        <v>0</v>
      </c>
      <c r="CN105" s="19"/>
      <c r="CO105" s="19">
        <v>0</v>
      </c>
      <c r="CP105" s="75"/>
      <c r="CQ105" s="75"/>
      <c r="CR105" s="75"/>
      <c r="CS105" s="19">
        <f t="shared" si="114"/>
        <v>0</v>
      </c>
      <c r="CT105" s="19">
        <f t="shared" si="115"/>
        <v>0</v>
      </c>
      <c r="CU105" s="19">
        <v>0</v>
      </c>
      <c r="CV105" s="20">
        <v>0</v>
      </c>
      <c r="CW105" s="52"/>
    </row>
    <row r="106" spans="1:101" s="58" customFormat="1" ht="46.8" x14ac:dyDescent="0.3">
      <c r="A106" s="106" t="s">
        <v>176</v>
      </c>
      <c r="B106" s="25" t="s">
        <v>1</v>
      </c>
      <c r="C106" s="26" t="s">
        <v>177</v>
      </c>
      <c r="D106" s="27">
        <f t="shared" ref="D106:AS106" si="200">SUM(D107+D110+D112+D115)</f>
        <v>33370379</v>
      </c>
      <c r="E106" s="27">
        <f t="shared" si="200"/>
        <v>33370379</v>
      </c>
      <c r="F106" s="27">
        <f t="shared" si="200"/>
        <v>6207039</v>
      </c>
      <c r="G106" s="27">
        <f t="shared" si="200"/>
        <v>0</v>
      </c>
      <c r="H106" s="27">
        <f t="shared" si="200"/>
        <v>0</v>
      </c>
      <c r="I106" s="27">
        <f t="shared" si="200"/>
        <v>0</v>
      </c>
      <c r="J106" s="27">
        <f t="shared" si="200"/>
        <v>0</v>
      </c>
      <c r="K106" s="27">
        <f t="shared" si="200"/>
        <v>0</v>
      </c>
      <c r="L106" s="27">
        <f t="shared" si="200"/>
        <v>0</v>
      </c>
      <c r="M106" s="27">
        <f t="shared" si="200"/>
        <v>0</v>
      </c>
      <c r="N106" s="27">
        <f t="shared" si="200"/>
        <v>0</v>
      </c>
      <c r="O106" s="27">
        <f t="shared" si="200"/>
        <v>0</v>
      </c>
      <c r="P106" s="27">
        <f t="shared" si="200"/>
        <v>0</v>
      </c>
      <c r="Q106" s="27">
        <f t="shared" si="200"/>
        <v>0</v>
      </c>
      <c r="R106" s="27">
        <f t="shared" si="200"/>
        <v>0</v>
      </c>
      <c r="S106" s="27">
        <f t="shared" si="200"/>
        <v>0</v>
      </c>
      <c r="T106" s="27">
        <f t="shared" si="200"/>
        <v>0</v>
      </c>
      <c r="U106" s="27">
        <f t="shared" si="200"/>
        <v>0</v>
      </c>
      <c r="V106" s="27">
        <f t="shared" si="200"/>
        <v>0</v>
      </c>
      <c r="W106" s="27">
        <f t="shared" si="200"/>
        <v>0</v>
      </c>
      <c r="X106" s="27">
        <f t="shared" si="200"/>
        <v>0</v>
      </c>
      <c r="Y106" s="27">
        <f t="shared" si="200"/>
        <v>0</v>
      </c>
      <c r="Z106" s="27">
        <f t="shared" si="200"/>
        <v>0</v>
      </c>
      <c r="AA106" s="27">
        <f t="shared" si="200"/>
        <v>0</v>
      </c>
      <c r="AB106" s="27">
        <f t="shared" si="200"/>
        <v>0</v>
      </c>
      <c r="AC106" s="27">
        <f t="shared" si="200"/>
        <v>0</v>
      </c>
      <c r="AD106" s="27">
        <f t="shared" si="200"/>
        <v>0</v>
      </c>
      <c r="AE106" s="27">
        <f t="shared" si="200"/>
        <v>6207039</v>
      </c>
      <c r="AF106" s="27">
        <f t="shared" si="200"/>
        <v>0</v>
      </c>
      <c r="AG106" s="27">
        <f t="shared" si="200"/>
        <v>0</v>
      </c>
      <c r="AH106" s="27">
        <f t="shared" si="200"/>
        <v>0</v>
      </c>
      <c r="AI106" s="27">
        <f t="shared" si="200"/>
        <v>0</v>
      </c>
      <c r="AJ106" s="27">
        <f t="shared" si="200"/>
        <v>0</v>
      </c>
      <c r="AK106" s="27">
        <f t="shared" si="200"/>
        <v>0</v>
      </c>
      <c r="AL106" s="27">
        <f t="shared" si="200"/>
        <v>0</v>
      </c>
      <c r="AM106" s="27">
        <f t="shared" si="200"/>
        <v>0</v>
      </c>
      <c r="AN106" s="27">
        <f t="shared" si="200"/>
        <v>0</v>
      </c>
      <c r="AO106" s="27">
        <f t="shared" si="200"/>
        <v>0</v>
      </c>
      <c r="AP106" s="27">
        <f t="shared" si="200"/>
        <v>0</v>
      </c>
      <c r="AQ106" s="27">
        <f t="shared" si="200"/>
        <v>0</v>
      </c>
      <c r="AR106" s="27">
        <f t="shared" si="200"/>
        <v>0</v>
      </c>
      <c r="AS106" s="27">
        <f t="shared" si="200"/>
        <v>0</v>
      </c>
      <c r="AT106" s="27"/>
      <c r="AU106" s="27"/>
      <c r="AV106" s="27">
        <f>SUM(AV107+AV110+AV112+AV115)</f>
        <v>0</v>
      </c>
      <c r="AW106" s="27">
        <f>SUM(AW107+AW110+AW112+AW115)</f>
        <v>0</v>
      </c>
      <c r="AX106" s="27">
        <f>SUM(AX107+AX110+AX112+AX115)</f>
        <v>0</v>
      </c>
      <c r="AY106" s="27"/>
      <c r="AZ106" s="27">
        <f t="shared" ref="AZ106:CM106" si="201">SUM(AZ107+AZ110+AZ112+AZ115)</f>
        <v>6207039</v>
      </c>
      <c r="BA106" s="27">
        <f t="shared" si="201"/>
        <v>27163340</v>
      </c>
      <c r="BB106" s="27">
        <f t="shared" si="201"/>
        <v>24757489</v>
      </c>
      <c r="BC106" s="27">
        <f t="shared" si="201"/>
        <v>0</v>
      </c>
      <c r="BD106" s="27">
        <f t="shared" si="201"/>
        <v>6033387</v>
      </c>
      <c r="BE106" s="27">
        <f t="shared" si="201"/>
        <v>18724102</v>
      </c>
      <c r="BF106" s="27">
        <f t="shared" si="201"/>
        <v>0</v>
      </c>
      <c r="BG106" s="27">
        <f t="shared" si="201"/>
        <v>0</v>
      </c>
      <c r="BH106" s="27">
        <f t="shared" si="201"/>
        <v>0</v>
      </c>
      <c r="BI106" s="27">
        <f t="shared" si="201"/>
        <v>0</v>
      </c>
      <c r="BJ106" s="27">
        <f t="shared" si="201"/>
        <v>0</v>
      </c>
      <c r="BK106" s="27">
        <f t="shared" si="201"/>
        <v>2405851</v>
      </c>
      <c r="BL106" s="27">
        <f t="shared" si="201"/>
        <v>0</v>
      </c>
      <c r="BM106" s="27">
        <f t="shared" si="201"/>
        <v>2405851</v>
      </c>
      <c r="BN106" s="27">
        <f t="shared" si="201"/>
        <v>0</v>
      </c>
      <c r="BO106" s="27">
        <f t="shared" si="201"/>
        <v>0</v>
      </c>
      <c r="BP106" s="27">
        <f t="shared" si="201"/>
        <v>0</v>
      </c>
      <c r="BQ106" s="27">
        <f t="shared" si="201"/>
        <v>0</v>
      </c>
      <c r="BR106" s="27">
        <f t="shared" si="201"/>
        <v>0</v>
      </c>
      <c r="BS106" s="27">
        <f t="shared" si="201"/>
        <v>0</v>
      </c>
      <c r="BT106" s="27">
        <f t="shared" si="201"/>
        <v>0</v>
      </c>
      <c r="BU106" s="27">
        <f t="shared" si="201"/>
        <v>0</v>
      </c>
      <c r="BV106" s="27">
        <f t="shared" si="201"/>
        <v>0</v>
      </c>
      <c r="BW106" s="27">
        <f t="shared" si="201"/>
        <v>0</v>
      </c>
      <c r="BX106" s="27">
        <f t="shared" si="201"/>
        <v>0</v>
      </c>
      <c r="BY106" s="27">
        <f t="shared" si="201"/>
        <v>0</v>
      </c>
      <c r="BZ106" s="27">
        <f t="shared" si="201"/>
        <v>0</v>
      </c>
      <c r="CA106" s="27">
        <f t="shared" si="201"/>
        <v>0</v>
      </c>
      <c r="CB106" s="27">
        <f t="shared" si="201"/>
        <v>0</v>
      </c>
      <c r="CC106" s="27">
        <f t="shared" si="201"/>
        <v>0</v>
      </c>
      <c r="CD106" s="27">
        <f t="shared" si="201"/>
        <v>0</v>
      </c>
      <c r="CE106" s="27">
        <f t="shared" si="201"/>
        <v>0</v>
      </c>
      <c r="CF106" s="27">
        <f t="shared" si="201"/>
        <v>0</v>
      </c>
      <c r="CG106" s="27">
        <f t="shared" si="201"/>
        <v>0</v>
      </c>
      <c r="CH106" s="27">
        <f t="shared" si="201"/>
        <v>0</v>
      </c>
      <c r="CI106" s="27">
        <f t="shared" si="201"/>
        <v>0</v>
      </c>
      <c r="CJ106" s="27">
        <f t="shared" si="201"/>
        <v>0</v>
      </c>
      <c r="CK106" s="27">
        <f t="shared" si="201"/>
        <v>0</v>
      </c>
      <c r="CL106" s="27">
        <f t="shared" si="201"/>
        <v>0</v>
      </c>
      <c r="CM106" s="27">
        <f t="shared" si="201"/>
        <v>0</v>
      </c>
      <c r="CN106" s="27"/>
      <c r="CO106" s="27">
        <f>SUM(CO107+CO110+CO112+CO115)</f>
        <v>0</v>
      </c>
      <c r="CP106" s="27">
        <f t="shared" ref="CP106:CR106" si="202">SUM(CP107+CP110+CP112+CP115)</f>
        <v>0</v>
      </c>
      <c r="CQ106" s="27">
        <f t="shared" si="202"/>
        <v>0</v>
      </c>
      <c r="CR106" s="27">
        <f t="shared" si="202"/>
        <v>0</v>
      </c>
      <c r="CS106" s="27">
        <f>SUM(CS107+CS110+CS112+CS115)</f>
        <v>0</v>
      </c>
      <c r="CT106" s="27">
        <f>SUM(CT107+CT110+CT112+CT115)</f>
        <v>0</v>
      </c>
      <c r="CU106" s="27">
        <f>SUM(CU107+CU110+CU112+CU115)</f>
        <v>0</v>
      </c>
      <c r="CV106" s="60">
        <f>SUM(CV107+CV110+CV112+CV115)</f>
        <v>0</v>
      </c>
      <c r="CW106" s="57"/>
    </row>
    <row r="107" spans="1:101" ht="31.2" x14ac:dyDescent="0.3">
      <c r="A107" s="104" t="s">
        <v>178</v>
      </c>
      <c r="B107" s="16" t="s">
        <v>1</v>
      </c>
      <c r="C107" s="17" t="s">
        <v>528</v>
      </c>
      <c r="D107" s="18">
        <f>SUM(D108:D109)</f>
        <v>8439238</v>
      </c>
      <c r="E107" s="18">
        <f t="shared" ref="E107:BP107" si="203">SUM(E108:E109)</f>
        <v>8439238</v>
      </c>
      <c r="F107" s="18">
        <f t="shared" si="203"/>
        <v>0</v>
      </c>
      <c r="G107" s="18">
        <f t="shared" si="203"/>
        <v>0</v>
      </c>
      <c r="H107" s="18">
        <f t="shared" si="203"/>
        <v>0</v>
      </c>
      <c r="I107" s="18">
        <f t="shared" si="203"/>
        <v>0</v>
      </c>
      <c r="J107" s="18">
        <f t="shared" si="203"/>
        <v>0</v>
      </c>
      <c r="K107" s="18">
        <f t="shared" si="203"/>
        <v>0</v>
      </c>
      <c r="L107" s="18">
        <f t="shared" si="203"/>
        <v>0</v>
      </c>
      <c r="M107" s="18">
        <f t="shared" si="203"/>
        <v>0</v>
      </c>
      <c r="N107" s="18">
        <f t="shared" si="203"/>
        <v>0</v>
      </c>
      <c r="O107" s="18">
        <f t="shared" si="203"/>
        <v>0</v>
      </c>
      <c r="P107" s="18">
        <f t="shared" si="203"/>
        <v>0</v>
      </c>
      <c r="Q107" s="18">
        <f t="shared" si="203"/>
        <v>0</v>
      </c>
      <c r="R107" s="18">
        <f t="shared" si="203"/>
        <v>0</v>
      </c>
      <c r="S107" s="18">
        <f t="shared" si="203"/>
        <v>0</v>
      </c>
      <c r="T107" s="18">
        <f t="shared" si="203"/>
        <v>0</v>
      </c>
      <c r="U107" s="18">
        <f t="shared" si="203"/>
        <v>0</v>
      </c>
      <c r="V107" s="18">
        <f t="shared" si="203"/>
        <v>0</v>
      </c>
      <c r="W107" s="18">
        <f t="shared" si="203"/>
        <v>0</v>
      </c>
      <c r="X107" s="18">
        <f t="shared" si="203"/>
        <v>0</v>
      </c>
      <c r="Y107" s="18">
        <f t="shared" si="203"/>
        <v>0</v>
      </c>
      <c r="Z107" s="18">
        <f t="shared" si="203"/>
        <v>0</v>
      </c>
      <c r="AA107" s="18">
        <f t="shared" si="203"/>
        <v>0</v>
      </c>
      <c r="AB107" s="18">
        <f t="shared" si="203"/>
        <v>0</v>
      </c>
      <c r="AC107" s="18">
        <f t="shared" si="203"/>
        <v>0</v>
      </c>
      <c r="AD107" s="18">
        <f t="shared" si="203"/>
        <v>0</v>
      </c>
      <c r="AE107" s="18">
        <f t="shared" si="203"/>
        <v>0</v>
      </c>
      <c r="AF107" s="18">
        <f t="shared" si="203"/>
        <v>0</v>
      </c>
      <c r="AG107" s="18">
        <f t="shared" si="203"/>
        <v>0</v>
      </c>
      <c r="AH107" s="18">
        <f t="shared" si="203"/>
        <v>0</v>
      </c>
      <c r="AI107" s="18">
        <f t="shared" si="203"/>
        <v>0</v>
      </c>
      <c r="AJ107" s="18">
        <f t="shared" si="203"/>
        <v>0</v>
      </c>
      <c r="AK107" s="18">
        <f t="shared" si="203"/>
        <v>0</v>
      </c>
      <c r="AL107" s="18">
        <f t="shared" si="203"/>
        <v>0</v>
      </c>
      <c r="AM107" s="18">
        <f t="shared" si="203"/>
        <v>0</v>
      </c>
      <c r="AN107" s="18">
        <f t="shared" si="203"/>
        <v>0</v>
      </c>
      <c r="AO107" s="18">
        <f t="shared" si="203"/>
        <v>0</v>
      </c>
      <c r="AP107" s="18">
        <f t="shared" si="203"/>
        <v>0</v>
      </c>
      <c r="AQ107" s="18">
        <f t="shared" si="203"/>
        <v>0</v>
      </c>
      <c r="AR107" s="18">
        <f t="shared" si="203"/>
        <v>0</v>
      </c>
      <c r="AS107" s="18">
        <f t="shared" si="203"/>
        <v>0</v>
      </c>
      <c r="AT107" s="18">
        <f t="shared" si="203"/>
        <v>0</v>
      </c>
      <c r="AU107" s="18">
        <f t="shared" si="203"/>
        <v>0</v>
      </c>
      <c r="AV107" s="18">
        <f t="shared" si="203"/>
        <v>0</v>
      </c>
      <c r="AW107" s="18">
        <f t="shared" si="203"/>
        <v>0</v>
      </c>
      <c r="AX107" s="18">
        <f t="shared" si="203"/>
        <v>0</v>
      </c>
      <c r="AY107" s="18"/>
      <c r="AZ107" s="18">
        <f t="shared" si="203"/>
        <v>0</v>
      </c>
      <c r="BA107" s="18">
        <f t="shared" si="203"/>
        <v>8439238</v>
      </c>
      <c r="BB107" s="18">
        <f t="shared" si="203"/>
        <v>6033387</v>
      </c>
      <c r="BC107" s="18">
        <f t="shared" si="203"/>
        <v>0</v>
      </c>
      <c r="BD107" s="18">
        <f t="shared" si="203"/>
        <v>6033387</v>
      </c>
      <c r="BE107" s="18">
        <f t="shared" si="203"/>
        <v>0</v>
      </c>
      <c r="BF107" s="18">
        <f t="shared" si="203"/>
        <v>0</v>
      </c>
      <c r="BG107" s="18">
        <f t="shared" si="203"/>
        <v>0</v>
      </c>
      <c r="BH107" s="18">
        <f t="shared" si="203"/>
        <v>0</v>
      </c>
      <c r="BI107" s="18">
        <f t="shared" si="203"/>
        <v>0</v>
      </c>
      <c r="BJ107" s="18">
        <f t="shared" ref="BJ107" si="204">SUM(BJ108:BJ109)</f>
        <v>0</v>
      </c>
      <c r="BK107" s="18">
        <f t="shared" si="203"/>
        <v>2405851</v>
      </c>
      <c r="BL107" s="18">
        <f t="shared" si="203"/>
        <v>0</v>
      </c>
      <c r="BM107" s="18">
        <f t="shared" si="203"/>
        <v>2405851</v>
      </c>
      <c r="BN107" s="18">
        <f t="shared" si="203"/>
        <v>0</v>
      </c>
      <c r="BO107" s="18">
        <f t="shared" si="203"/>
        <v>0</v>
      </c>
      <c r="BP107" s="18">
        <f t="shared" si="203"/>
        <v>0</v>
      </c>
      <c r="BQ107" s="18">
        <f t="shared" ref="BQ107:CV107" si="205">SUM(BQ108:BQ109)</f>
        <v>0</v>
      </c>
      <c r="BR107" s="18">
        <f t="shared" si="205"/>
        <v>0</v>
      </c>
      <c r="BS107" s="18">
        <f t="shared" si="205"/>
        <v>0</v>
      </c>
      <c r="BT107" s="18">
        <f t="shared" si="205"/>
        <v>0</v>
      </c>
      <c r="BU107" s="18">
        <f t="shared" si="205"/>
        <v>0</v>
      </c>
      <c r="BV107" s="18">
        <f t="shared" si="205"/>
        <v>0</v>
      </c>
      <c r="BW107" s="18">
        <f t="shared" si="205"/>
        <v>0</v>
      </c>
      <c r="BX107" s="18">
        <f t="shared" si="205"/>
        <v>0</v>
      </c>
      <c r="BY107" s="18">
        <f t="shared" si="205"/>
        <v>0</v>
      </c>
      <c r="BZ107" s="18">
        <f t="shared" si="205"/>
        <v>0</v>
      </c>
      <c r="CA107" s="18">
        <f t="shared" si="205"/>
        <v>0</v>
      </c>
      <c r="CB107" s="18">
        <f t="shared" si="205"/>
        <v>0</v>
      </c>
      <c r="CC107" s="18">
        <f t="shared" si="205"/>
        <v>0</v>
      </c>
      <c r="CD107" s="18">
        <f t="shared" si="205"/>
        <v>0</v>
      </c>
      <c r="CE107" s="18">
        <f t="shared" si="205"/>
        <v>0</v>
      </c>
      <c r="CF107" s="18">
        <f t="shared" si="205"/>
        <v>0</v>
      </c>
      <c r="CG107" s="18">
        <f t="shared" ref="CG107:CH107" si="206">SUM(CG108:CG109)</f>
        <v>0</v>
      </c>
      <c r="CH107" s="18">
        <f t="shared" si="206"/>
        <v>0</v>
      </c>
      <c r="CI107" s="18">
        <f t="shared" si="205"/>
        <v>0</v>
      </c>
      <c r="CJ107" s="18">
        <f t="shared" ref="CJ107" si="207">SUM(CJ108:CJ109)</f>
        <v>0</v>
      </c>
      <c r="CK107" s="18">
        <f t="shared" si="205"/>
        <v>0</v>
      </c>
      <c r="CL107" s="18">
        <f t="shared" ref="CL107" si="208">SUM(CL108:CL109)</f>
        <v>0</v>
      </c>
      <c r="CM107" s="18">
        <f t="shared" si="205"/>
        <v>0</v>
      </c>
      <c r="CN107" s="18">
        <f t="shared" si="205"/>
        <v>0</v>
      </c>
      <c r="CO107" s="18">
        <f t="shared" si="205"/>
        <v>0</v>
      </c>
      <c r="CP107" s="74"/>
      <c r="CQ107" s="74"/>
      <c r="CR107" s="74"/>
      <c r="CS107" s="18">
        <f t="shared" si="205"/>
        <v>0</v>
      </c>
      <c r="CT107" s="18">
        <f t="shared" si="205"/>
        <v>0</v>
      </c>
      <c r="CU107" s="18">
        <f t="shared" si="205"/>
        <v>0</v>
      </c>
      <c r="CV107" s="46">
        <f t="shared" si="205"/>
        <v>0</v>
      </c>
      <c r="CW107" s="57"/>
    </row>
    <row r="108" spans="1:101" ht="15.6" x14ac:dyDescent="0.3">
      <c r="A108" s="105" t="s">
        <v>1</v>
      </c>
      <c r="B108" s="21" t="s">
        <v>54</v>
      </c>
      <c r="C108" s="22" t="s">
        <v>179</v>
      </c>
      <c r="D108" s="19">
        <f>SUM(E108+BZ108+CS108)</f>
        <v>6033387</v>
      </c>
      <c r="E108" s="19">
        <f>SUM(F108+BA108)</f>
        <v>6033387</v>
      </c>
      <c r="F108" s="19">
        <f>SUM(G108+H108+I108+P108+S108+T108+U108+AE108+AD108)</f>
        <v>0</v>
      </c>
      <c r="G108" s="19">
        <v>0</v>
      </c>
      <c r="H108" s="19">
        <v>0</v>
      </c>
      <c r="I108" s="19">
        <f t="shared" si="110"/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f t="shared" si="111"/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f>SUM(V108:AC108)</f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f>SUM(AF108:AZ108)</f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/>
      <c r="AU108" s="19"/>
      <c r="AV108" s="19">
        <v>0</v>
      </c>
      <c r="AW108" s="19">
        <v>0</v>
      </c>
      <c r="AX108" s="19">
        <v>0</v>
      </c>
      <c r="AY108" s="19"/>
      <c r="AZ108" s="19">
        <v>0</v>
      </c>
      <c r="BA108" s="19">
        <f>SUM(BB108+BF108+BI108+BK108+BN108)</f>
        <v>6033387</v>
      </c>
      <c r="BB108" s="19">
        <f>SUM(BC108:BE108)</f>
        <v>6033387</v>
      </c>
      <c r="BC108" s="19">
        <v>0</v>
      </c>
      <c r="BD108" s="23">
        <v>6033387</v>
      </c>
      <c r="BE108" s="19">
        <v>0</v>
      </c>
      <c r="BF108" s="19">
        <f>SUM(BH108:BH108)</f>
        <v>0</v>
      </c>
      <c r="BG108" s="19">
        <v>0</v>
      </c>
      <c r="BH108" s="19">
        <v>0</v>
      </c>
      <c r="BI108" s="19">
        <v>0</v>
      </c>
      <c r="BJ108" s="19">
        <v>0</v>
      </c>
      <c r="BK108" s="19">
        <f>SUM(BL108)+BM108</f>
        <v>0</v>
      </c>
      <c r="BL108" s="19">
        <v>0</v>
      </c>
      <c r="BM108" s="19"/>
      <c r="BN108" s="19">
        <f>SUM(BO108:BY108)</f>
        <v>0</v>
      </c>
      <c r="BO108" s="19">
        <v>0</v>
      </c>
      <c r="BP108" s="19">
        <v>0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0</v>
      </c>
      <c r="BX108" s="19">
        <v>0</v>
      </c>
      <c r="BY108" s="19">
        <v>0</v>
      </c>
      <c r="BZ108" s="19">
        <f>SUM(CA108+CO108)</f>
        <v>0</v>
      </c>
      <c r="CA108" s="19">
        <f>SUM(CB108+CE108+CK108)</f>
        <v>0</v>
      </c>
      <c r="CB108" s="19">
        <f t="shared" si="113"/>
        <v>0</v>
      </c>
      <c r="CC108" s="19">
        <v>0</v>
      </c>
      <c r="CD108" s="19">
        <v>0</v>
      </c>
      <c r="CE108" s="19">
        <f>SUM(CF108:CJ108)</f>
        <v>0</v>
      </c>
      <c r="CF108" s="19">
        <v>0</v>
      </c>
      <c r="CG108" s="19">
        <v>0</v>
      </c>
      <c r="CH108" s="19">
        <v>0</v>
      </c>
      <c r="CI108" s="19">
        <v>0</v>
      </c>
      <c r="CJ108" s="19">
        <v>0</v>
      </c>
      <c r="CK108" s="19">
        <f>SUM(CL108:CN108)</f>
        <v>0</v>
      </c>
      <c r="CL108" s="19">
        <v>0</v>
      </c>
      <c r="CM108" s="19">
        <v>0</v>
      </c>
      <c r="CN108" s="19"/>
      <c r="CO108" s="19">
        <v>0</v>
      </c>
      <c r="CP108" s="75"/>
      <c r="CQ108" s="75"/>
      <c r="CR108" s="75"/>
      <c r="CS108" s="19">
        <f t="shared" si="114"/>
        <v>0</v>
      </c>
      <c r="CT108" s="19">
        <f t="shared" si="115"/>
        <v>0</v>
      </c>
      <c r="CU108" s="19">
        <v>0</v>
      </c>
      <c r="CV108" s="20">
        <v>0</v>
      </c>
      <c r="CW108" s="52"/>
    </row>
    <row r="109" spans="1:101" s="58" customFormat="1" ht="31.2" x14ac:dyDescent="0.3">
      <c r="A109" s="105" t="s">
        <v>1</v>
      </c>
      <c r="B109" s="21" t="s">
        <v>54</v>
      </c>
      <c r="C109" s="22" t="s">
        <v>433</v>
      </c>
      <c r="D109" s="19">
        <f>SUM(E109+BZ109+CS109)</f>
        <v>2405851</v>
      </c>
      <c r="E109" s="19">
        <f>SUM(F109+BA109)</f>
        <v>2405851</v>
      </c>
      <c r="F109" s="19">
        <f>SUM(G109+H109+I109+P109+S109+T109+U109+AE109+AD109)</f>
        <v>0</v>
      </c>
      <c r="G109" s="19">
        <v>0</v>
      </c>
      <c r="H109" s="19">
        <v>0</v>
      </c>
      <c r="I109" s="19">
        <f t="shared" ref="I109" si="209">SUM(J109:O109)</f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f t="shared" ref="P109" si="210">SUM(Q109:R109)</f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f>SUM(V109:AC109)</f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f>SUM(AF109:AZ109)</f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/>
      <c r="AU109" s="19"/>
      <c r="AV109" s="19">
        <v>0</v>
      </c>
      <c r="AW109" s="19">
        <v>0</v>
      </c>
      <c r="AX109" s="19">
        <v>0</v>
      </c>
      <c r="AY109" s="19"/>
      <c r="AZ109" s="19">
        <v>0</v>
      </c>
      <c r="BA109" s="19">
        <f>SUM(BB109+BF109+BI109+BK109+BN109)</f>
        <v>2405851</v>
      </c>
      <c r="BB109" s="19">
        <f>SUM(BC109:BE109)</f>
        <v>0</v>
      </c>
      <c r="BC109" s="19">
        <v>0</v>
      </c>
      <c r="BD109" s="19"/>
      <c r="BE109" s="19">
        <v>0</v>
      </c>
      <c r="BF109" s="19">
        <f>SUM(BH109:BH109)</f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f>SUM(BL109:BM109)</f>
        <v>2405851</v>
      </c>
      <c r="BL109" s="19">
        <v>0</v>
      </c>
      <c r="BM109" s="23">
        <v>2405851</v>
      </c>
      <c r="BN109" s="19">
        <f>SUM(BO109:BY109)</f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f>SUM(CA109+CO109)</f>
        <v>0</v>
      </c>
      <c r="CA109" s="19">
        <f>SUM(CB109+CE109+CK109)</f>
        <v>0</v>
      </c>
      <c r="CB109" s="19">
        <f t="shared" ref="CB109" si="211">SUM(CC109:CD109)</f>
        <v>0</v>
      </c>
      <c r="CC109" s="19">
        <v>0</v>
      </c>
      <c r="CD109" s="19">
        <v>0</v>
      </c>
      <c r="CE109" s="19">
        <f>SUM(CF109:CJ109)</f>
        <v>0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f>SUM(CL109:CN109)</f>
        <v>0</v>
      </c>
      <c r="CL109" s="19">
        <v>0</v>
      </c>
      <c r="CM109" s="19">
        <v>0</v>
      </c>
      <c r="CN109" s="19"/>
      <c r="CO109" s="19">
        <v>0</v>
      </c>
      <c r="CP109" s="75"/>
      <c r="CQ109" s="75"/>
      <c r="CR109" s="75"/>
      <c r="CS109" s="19">
        <f t="shared" ref="CS109" si="212">SUM(CT109)</f>
        <v>0</v>
      </c>
      <c r="CT109" s="19">
        <f t="shared" ref="CT109" si="213">SUM(CU109:CV109)</f>
        <v>0</v>
      </c>
      <c r="CU109" s="19">
        <v>0</v>
      </c>
      <c r="CV109" s="20">
        <v>0</v>
      </c>
      <c r="CW109" s="52"/>
    </row>
    <row r="110" spans="1:101" ht="15.6" x14ac:dyDescent="0.3">
      <c r="A110" s="104" t="s">
        <v>180</v>
      </c>
      <c r="B110" s="16" t="s">
        <v>1</v>
      </c>
      <c r="C110" s="17" t="s">
        <v>181</v>
      </c>
      <c r="D110" s="18">
        <f t="shared" ref="D110:AX110" si="214">SUM(D111:D111)</f>
        <v>18724102</v>
      </c>
      <c r="E110" s="18">
        <f t="shared" si="214"/>
        <v>18724102</v>
      </c>
      <c r="F110" s="18">
        <f t="shared" si="214"/>
        <v>0</v>
      </c>
      <c r="G110" s="18">
        <f t="shared" si="214"/>
        <v>0</v>
      </c>
      <c r="H110" s="18">
        <f t="shared" si="214"/>
        <v>0</v>
      </c>
      <c r="I110" s="18">
        <f t="shared" si="214"/>
        <v>0</v>
      </c>
      <c r="J110" s="18">
        <f t="shared" si="214"/>
        <v>0</v>
      </c>
      <c r="K110" s="18">
        <f t="shared" si="214"/>
        <v>0</v>
      </c>
      <c r="L110" s="18">
        <f t="shared" si="214"/>
        <v>0</v>
      </c>
      <c r="M110" s="18">
        <f t="shared" si="214"/>
        <v>0</v>
      </c>
      <c r="N110" s="18">
        <f t="shared" si="214"/>
        <v>0</v>
      </c>
      <c r="O110" s="18">
        <f t="shared" si="214"/>
        <v>0</v>
      </c>
      <c r="P110" s="18">
        <f t="shared" si="214"/>
        <v>0</v>
      </c>
      <c r="Q110" s="18">
        <f t="shared" si="214"/>
        <v>0</v>
      </c>
      <c r="R110" s="18">
        <f t="shared" si="214"/>
        <v>0</v>
      </c>
      <c r="S110" s="18">
        <f t="shared" si="214"/>
        <v>0</v>
      </c>
      <c r="T110" s="18">
        <f t="shared" si="214"/>
        <v>0</v>
      </c>
      <c r="U110" s="18">
        <f t="shared" si="214"/>
        <v>0</v>
      </c>
      <c r="V110" s="18">
        <f t="shared" si="214"/>
        <v>0</v>
      </c>
      <c r="W110" s="18">
        <f t="shared" si="214"/>
        <v>0</v>
      </c>
      <c r="X110" s="18">
        <f t="shared" si="214"/>
        <v>0</v>
      </c>
      <c r="Y110" s="18">
        <f t="shared" si="214"/>
        <v>0</v>
      </c>
      <c r="Z110" s="18">
        <f t="shared" si="214"/>
        <v>0</v>
      </c>
      <c r="AA110" s="18">
        <f t="shared" si="214"/>
        <v>0</v>
      </c>
      <c r="AB110" s="18">
        <f t="shared" si="214"/>
        <v>0</v>
      </c>
      <c r="AC110" s="18">
        <f t="shared" si="214"/>
        <v>0</v>
      </c>
      <c r="AD110" s="18">
        <f t="shared" si="214"/>
        <v>0</v>
      </c>
      <c r="AE110" s="18">
        <f t="shared" si="214"/>
        <v>0</v>
      </c>
      <c r="AF110" s="18">
        <f t="shared" si="214"/>
        <v>0</v>
      </c>
      <c r="AG110" s="18">
        <f t="shared" si="214"/>
        <v>0</v>
      </c>
      <c r="AH110" s="18">
        <f t="shared" si="214"/>
        <v>0</v>
      </c>
      <c r="AI110" s="18">
        <f t="shared" si="214"/>
        <v>0</v>
      </c>
      <c r="AJ110" s="18">
        <f t="shared" si="214"/>
        <v>0</v>
      </c>
      <c r="AK110" s="18">
        <f t="shared" si="214"/>
        <v>0</v>
      </c>
      <c r="AL110" s="18">
        <f t="shared" si="214"/>
        <v>0</v>
      </c>
      <c r="AM110" s="18">
        <f t="shared" si="214"/>
        <v>0</v>
      </c>
      <c r="AN110" s="18">
        <f t="shared" si="214"/>
        <v>0</v>
      </c>
      <c r="AO110" s="18">
        <f t="shared" si="214"/>
        <v>0</v>
      </c>
      <c r="AP110" s="18">
        <f t="shared" si="214"/>
        <v>0</v>
      </c>
      <c r="AQ110" s="18">
        <f t="shared" si="214"/>
        <v>0</v>
      </c>
      <c r="AR110" s="18">
        <f t="shared" si="214"/>
        <v>0</v>
      </c>
      <c r="AS110" s="18">
        <f t="shared" si="214"/>
        <v>0</v>
      </c>
      <c r="AT110" s="18">
        <f t="shared" si="214"/>
        <v>0</v>
      </c>
      <c r="AU110" s="18">
        <f t="shared" si="214"/>
        <v>0</v>
      </c>
      <c r="AV110" s="18">
        <f t="shared" si="214"/>
        <v>0</v>
      </c>
      <c r="AW110" s="18">
        <f t="shared" si="214"/>
        <v>0</v>
      </c>
      <c r="AX110" s="18">
        <f t="shared" si="214"/>
        <v>0</v>
      </c>
      <c r="AY110" s="18"/>
      <c r="AZ110" s="18">
        <f t="shared" ref="AZ110:CV110" si="215">SUM(AZ111:AZ111)</f>
        <v>0</v>
      </c>
      <c r="BA110" s="18">
        <f t="shared" si="215"/>
        <v>18724102</v>
      </c>
      <c r="BB110" s="18">
        <f t="shared" si="215"/>
        <v>18724102</v>
      </c>
      <c r="BC110" s="18">
        <f t="shared" si="215"/>
        <v>0</v>
      </c>
      <c r="BD110" s="18">
        <f t="shared" si="215"/>
        <v>0</v>
      </c>
      <c r="BE110" s="18">
        <f t="shared" si="215"/>
        <v>18724102</v>
      </c>
      <c r="BF110" s="18">
        <f t="shared" si="215"/>
        <v>0</v>
      </c>
      <c r="BG110" s="18">
        <f t="shared" si="215"/>
        <v>0</v>
      </c>
      <c r="BH110" s="18">
        <f t="shared" si="215"/>
        <v>0</v>
      </c>
      <c r="BI110" s="18">
        <f t="shared" si="215"/>
        <v>0</v>
      </c>
      <c r="BJ110" s="18">
        <f t="shared" si="215"/>
        <v>0</v>
      </c>
      <c r="BK110" s="18">
        <f t="shared" si="215"/>
        <v>0</v>
      </c>
      <c r="BL110" s="18">
        <f t="shared" si="215"/>
        <v>0</v>
      </c>
      <c r="BM110" s="18">
        <f t="shared" si="215"/>
        <v>0</v>
      </c>
      <c r="BN110" s="18">
        <f t="shared" si="215"/>
        <v>0</v>
      </c>
      <c r="BO110" s="18">
        <f t="shared" si="215"/>
        <v>0</v>
      </c>
      <c r="BP110" s="18">
        <f t="shared" si="215"/>
        <v>0</v>
      </c>
      <c r="BQ110" s="18">
        <f t="shared" si="215"/>
        <v>0</v>
      </c>
      <c r="BR110" s="18">
        <f t="shared" si="215"/>
        <v>0</v>
      </c>
      <c r="BS110" s="18">
        <f t="shared" si="215"/>
        <v>0</v>
      </c>
      <c r="BT110" s="18">
        <f t="shared" si="215"/>
        <v>0</v>
      </c>
      <c r="BU110" s="18">
        <f t="shared" si="215"/>
        <v>0</v>
      </c>
      <c r="BV110" s="18">
        <f t="shared" si="215"/>
        <v>0</v>
      </c>
      <c r="BW110" s="18">
        <f t="shared" si="215"/>
        <v>0</v>
      </c>
      <c r="BX110" s="18">
        <f t="shared" si="215"/>
        <v>0</v>
      </c>
      <c r="BY110" s="18">
        <f t="shared" si="215"/>
        <v>0</v>
      </c>
      <c r="BZ110" s="18">
        <f t="shared" si="215"/>
        <v>0</v>
      </c>
      <c r="CA110" s="18">
        <f t="shared" si="215"/>
        <v>0</v>
      </c>
      <c r="CB110" s="18">
        <f t="shared" si="215"/>
        <v>0</v>
      </c>
      <c r="CC110" s="18">
        <f t="shared" si="215"/>
        <v>0</v>
      </c>
      <c r="CD110" s="18">
        <f t="shared" si="215"/>
        <v>0</v>
      </c>
      <c r="CE110" s="18">
        <f t="shared" si="215"/>
        <v>0</v>
      </c>
      <c r="CF110" s="18">
        <f t="shared" si="215"/>
        <v>0</v>
      </c>
      <c r="CG110" s="18">
        <f t="shared" si="215"/>
        <v>0</v>
      </c>
      <c r="CH110" s="18">
        <f t="shared" si="215"/>
        <v>0</v>
      </c>
      <c r="CI110" s="18">
        <f t="shared" si="215"/>
        <v>0</v>
      </c>
      <c r="CJ110" s="18">
        <f t="shared" si="215"/>
        <v>0</v>
      </c>
      <c r="CK110" s="18">
        <f t="shared" si="215"/>
        <v>0</v>
      </c>
      <c r="CL110" s="18">
        <f t="shared" si="215"/>
        <v>0</v>
      </c>
      <c r="CM110" s="18">
        <f t="shared" si="215"/>
        <v>0</v>
      </c>
      <c r="CN110" s="18">
        <f t="shared" si="215"/>
        <v>0</v>
      </c>
      <c r="CO110" s="18">
        <f t="shared" si="215"/>
        <v>0</v>
      </c>
      <c r="CP110" s="74"/>
      <c r="CQ110" s="74"/>
      <c r="CR110" s="74"/>
      <c r="CS110" s="18">
        <f t="shared" si="215"/>
        <v>0</v>
      </c>
      <c r="CT110" s="18">
        <f t="shared" si="215"/>
        <v>0</v>
      </c>
      <c r="CU110" s="18">
        <f t="shared" si="215"/>
        <v>0</v>
      </c>
      <c r="CV110" s="46">
        <f t="shared" si="215"/>
        <v>0</v>
      </c>
      <c r="CW110" s="57"/>
    </row>
    <row r="111" spans="1:101" s="58" customFormat="1" ht="31.2" x14ac:dyDescent="0.3">
      <c r="A111" s="105"/>
      <c r="B111" s="21" t="s">
        <v>78</v>
      </c>
      <c r="C111" s="32" t="s">
        <v>182</v>
      </c>
      <c r="D111" s="19">
        <f>SUM(E111+BZ111+CS111)</f>
        <v>18724102</v>
      </c>
      <c r="E111" s="19">
        <f>SUM(F111+BA111)</f>
        <v>18724102</v>
      </c>
      <c r="F111" s="19">
        <f>SUM(G111+H111+I111+P111+S111+T111+U111+AE111+AD111)</f>
        <v>0</v>
      </c>
      <c r="G111" s="19">
        <v>0</v>
      </c>
      <c r="H111" s="19">
        <v>0</v>
      </c>
      <c r="I111" s="19">
        <f t="shared" ref="I111" si="216">SUM(J111:O111)</f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f t="shared" ref="P111" si="217">SUM(Q111:R111)</f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f>SUM(V111:AC111)</f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f>SUM(AF111:AZ111)</f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/>
      <c r="AU111" s="19"/>
      <c r="AV111" s="19">
        <v>0</v>
      </c>
      <c r="AW111" s="19">
        <v>0</v>
      </c>
      <c r="AX111" s="19">
        <v>0</v>
      </c>
      <c r="AY111" s="19"/>
      <c r="AZ111" s="19">
        <v>0</v>
      </c>
      <c r="BA111" s="19">
        <f>SUM(BB111+BF111+BI111+BK111+BN111)</f>
        <v>18724102</v>
      </c>
      <c r="BB111" s="19">
        <f>SUM(BC111:BE111)</f>
        <v>18724102</v>
      </c>
      <c r="BC111" s="19">
        <v>0</v>
      </c>
      <c r="BD111" s="19">
        <v>0</v>
      </c>
      <c r="BE111" s="23">
        <v>18724102</v>
      </c>
      <c r="BF111" s="19">
        <f>SUM(BH111:BH111)</f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f t="shared" ref="BK111" si="218">SUM(BL111)</f>
        <v>0</v>
      </c>
      <c r="BL111" s="19">
        <v>0</v>
      </c>
      <c r="BM111" s="19">
        <v>0</v>
      </c>
      <c r="BN111" s="19">
        <f>SUM(BO111:BY111)</f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f>SUM(CA111+CO111)</f>
        <v>0</v>
      </c>
      <c r="CA111" s="19">
        <f>SUM(CB111+CE111+CK111)</f>
        <v>0</v>
      </c>
      <c r="CB111" s="19">
        <f t="shared" ref="CB111" si="219">SUM(CC111:CD111)</f>
        <v>0</v>
      </c>
      <c r="CC111" s="19">
        <v>0</v>
      </c>
      <c r="CD111" s="19">
        <v>0</v>
      </c>
      <c r="CE111" s="19">
        <f>SUM(CF111:CJ111)</f>
        <v>0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f>SUM(CL111:CN111)</f>
        <v>0</v>
      </c>
      <c r="CL111" s="19">
        <v>0</v>
      </c>
      <c r="CM111" s="19">
        <v>0</v>
      </c>
      <c r="CN111" s="19"/>
      <c r="CO111" s="19">
        <v>0</v>
      </c>
      <c r="CP111" s="75"/>
      <c r="CQ111" s="75"/>
      <c r="CR111" s="75"/>
      <c r="CS111" s="19">
        <f t="shared" ref="CS111" si="220">SUM(CT111)</f>
        <v>0</v>
      </c>
      <c r="CT111" s="19">
        <f t="shared" ref="CT111" si="221">SUM(CU111:CV111)</f>
        <v>0</v>
      </c>
      <c r="CU111" s="19">
        <v>0</v>
      </c>
      <c r="CV111" s="20">
        <v>0</v>
      </c>
      <c r="CW111" s="52"/>
    </row>
    <row r="112" spans="1:101" ht="15.6" x14ac:dyDescent="0.3">
      <c r="A112" s="104" t="s">
        <v>183</v>
      </c>
      <c r="B112" s="16" t="s">
        <v>1</v>
      </c>
      <c r="C112" s="17" t="s">
        <v>184</v>
      </c>
      <c r="D112" s="18">
        <f t="shared" ref="D112:AI112" si="222">SUM(D113:D114)</f>
        <v>4988370</v>
      </c>
      <c r="E112" s="18">
        <f t="shared" si="222"/>
        <v>4988370</v>
      </c>
      <c r="F112" s="18">
        <f t="shared" si="222"/>
        <v>4988370</v>
      </c>
      <c r="G112" s="18">
        <f t="shared" si="222"/>
        <v>0</v>
      </c>
      <c r="H112" s="18">
        <f t="shared" si="222"/>
        <v>0</v>
      </c>
      <c r="I112" s="18">
        <f t="shared" si="222"/>
        <v>0</v>
      </c>
      <c r="J112" s="18">
        <f t="shared" si="222"/>
        <v>0</v>
      </c>
      <c r="K112" s="18">
        <f t="shared" si="222"/>
        <v>0</v>
      </c>
      <c r="L112" s="18">
        <f t="shared" si="222"/>
        <v>0</v>
      </c>
      <c r="M112" s="18">
        <f t="shared" si="222"/>
        <v>0</v>
      </c>
      <c r="N112" s="18">
        <f t="shared" si="222"/>
        <v>0</v>
      </c>
      <c r="O112" s="18">
        <f t="shared" si="222"/>
        <v>0</v>
      </c>
      <c r="P112" s="18">
        <f t="shared" si="222"/>
        <v>0</v>
      </c>
      <c r="Q112" s="18">
        <f t="shared" si="222"/>
        <v>0</v>
      </c>
      <c r="R112" s="18">
        <f t="shared" si="222"/>
        <v>0</v>
      </c>
      <c r="S112" s="18">
        <f t="shared" si="222"/>
        <v>0</v>
      </c>
      <c r="T112" s="18">
        <f t="shared" si="222"/>
        <v>0</v>
      </c>
      <c r="U112" s="18">
        <f t="shared" si="222"/>
        <v>0</v>
      </c>
      <c r="V112" s="18">
        <f t="shared" si="222"/>
        <v>0</v>
      </c>
      <c r="W112" s="18">
        <f t="shared" si="222"/>
        <v>0</v>
      </c>
      <c r="X112" s="18">
        <f t="shared" si="222"/>
        <v>0</v>
      </c>
      <c r="Y112" s="18">
        <f t="shared" si="222"/>
        <v>0</v>
      </c>
      <c r="Z112" s="18">
        <f t="shared" si="222"/>
        <v>0</v>
      </c>
      <c r="AA112" s="18">
        <f t="shared" si="222"/>
        <v>0</v>
      </c>
      <c r="AB112" s="18">
        <f t="shared" si="222"/>
        <v>0</v>
      </c>
      <c r="AC112" s="18">
        <f t="shared" si="222"/>
        <v>0</v>
      </c>
      <c r="AD112" s="18">
        <f t="shared" si="222"/>
        <v>0</v>
      </c>
      <c r="AE112" s="18">
        <f t="shared" si="222"/>
        <v>4988370</v>
      </c>
      <c r="AF112" s="18">
        <f t="shared" si="222"/>
        <v>0</v>
      </c>
      <c r="AG112" s="18">
        <f t="shared" si="222"/>
        <v>0</v>
      </c>
      <c r="AH112" s="18">
        <f t="shared" si="222"/>
        <v>0</v>
      </c>
      <c r="AI112" s="18">
        <f t="shared" si="222"/>
        <v>0</v>
      </c>
      <c r="AJ112" s="18">
        <f t="shared" ref="AJ112:BO112" si="223">SUM(AJ113:AJ114)</f>
        <v>0</v>
      </c>
      <c r="AK112" s="18">
        <f t="shared" si="223"/>
        <v>0</v>
      </c>
      <c r="AL112" s="18">
        <f t="shared" si="223"/>
        <v>0</v>
      </c>
      <c r="AM112" s="18">
        <f t="shared" si="223"/>
        <v>0</v>
      </c>
      <c r="AN112" s="18">
        <f t="shared" si="223"/>
        <v>0</v>
      </c>
      <c r="AO112" s="18">
        <f t="shared" si="223"/>
        <v>0</v>
      </c>
      <c r="AP112" s="18">
        <f t="shared" si="223"/>
        <v>0</v>
      </c>
      <c r="AQ112" s="18">
        <f t="shared" si="223"/>
        <v>0</v>
      </c>
      <c r="AR112" s="18">
        <f t="shared" si="223"/>
        <v>0</v>
      </c>
      <c r="AS112" s="18">
        <f t="shared" si="223"/>
        <v>0</v>
      </c>
      <c r="AT112" s="18">
        <f t="shared" si="223"/>
        <v>0</v>
      </c>
      <c r="AU112" s="18">
        <f t="shared" si="223"/>
        <v>0</v>
      </c>
      <c r="AV112" s="18">
        <f t="shared" si="223"/>
        <v>0</v>
      </c>
      <c r="AW112" s="18">
        <f t="shared" si="223"/>
        <v>0</v>
      </c>
      <c r="AX112" s="18">
        <f t="shared" si="223"/>
        <v>0</v>
      </c>
      <c r="AY112" s="18">
        <f t="shared" si="223"/>
        <v>0</v>
      </c>
      <c r="AZ112" s="18">
        <f t="shared" si="223"/>
        <v>4988370</v>
      </c>
      <c r="BA112" s="18">
        <f t="shared" si="223"/>
        <v>0</v>
      </c>
      <c r="BB112" s="18">
        <f t="shared" si="223"/>
        <v>0</v>
      </c>
      <c r="BC112" s="18">
        <f t="shared" si="223"/>
        <v>0</v>
      </c>
      <c r="BD112" s="18">
        <f t="shared" si="223"/>
        <v>0</v>
      </c>
      <c r="BE112" s="18">
        <f t="shared" si="223"/>
        <v>0</v>
      </c>
      <c r="BF112" s="18">
        <f t="shared" si="223"/>
        <v>0</v>
      </c>
      <c r="BG112" s="18">
        <f t="shared" si="223"/>
        <v>0</v>
      </c>
      <c r="BH112" s="18">
        <f t="shared" si="223"/>
        <v>0</v>
      </c>
      <c r="BI112" s="18">
        <f t="shared" si="223"/>
        <v>0</v>
      </c>
      <c r="BJ112" s="18">
        <f t="shared" si="223"/>
        <v>0</v>
      </c>
      <c r="BK112" s="18">
        <f t="shared" si="223"/>
        <v>0</v>
      </c>
      <c r="BL112" s="18">
        <f t="shared" si="223"/>
        <v>0</v>
      </c>
      <c r="BM112" s="18">
        <f t="shared" si="223"/>
        <v>0</v>
      </c>
      <c r="BN112" s="18">
        <f t="shared" si="223"/>
        <v>0</v>
      </c>
      <c r="BO112" s="18">
        <f t="shared" si="223"/>
        <v>0</v>
      </c>
      <c r="BP112" s="18">
        <f t="shared" ref="BP112:CV112" si="224">SUM(BP113:BP114)</f>
        <v>0</v>
      </c>
      <c r="BQ112" s="18">
        <f t="shared" si="224"/>
        <v>0</v>
      </c>
      <c r="BR112" s="18">
        <f t="shared" si="224"/>
        <v>0</v>
      </c>
      <c r="BS112" s="18">
        <f t="shared" si="224"/>
        <v>0</v>
      </c>
      <c r="BT112" s="18">
        <f t="shared" si="224"/>
        <v>0</v>
      </c>
      <c r="BU112" s="18">
        <f t="shared" si="224"/>
        <v>0</v>
      </c>
      <c r="BV112" s="18">
        <f t="shared" si="224"/>
        <v>0</v>
      </c>
      <c r="BW112" s="18">
        <f t="shared" si="224"/>
        <v>0</v>
      </c>
      <c r="BX112" s="18">
        <f t="shared" si="224"/>
        <v>0</v>
      </c>
      <c r="BY112" s="18">
        <f t="shared" si="224"/>
        <v>0</v>
      </c>
      <c r="BZ112" s="18">
        <f t="shared" si="224"/>
        <v>0</v>
      </c>
      <c r="CA112" s="18">
        <f t="shared" si="224"/>
        <v>0</v>
      </c>
      <c r="CB112" s="18">
        <f t="shared" si="224"/>
        <v>0</v>
      </c>
      <c r="CC112" s="18">
        <f t="shared" si="224"/>
        <v>0</v>
      </c>
      <c r="CD112" s="18">
        <f t="shared" si="224"/>
        <v>0</v>
      </c>
      <c r="CE112" s="18">
        <f t="shared" si="224"/>
        <v>0</v>
      </c>
      <c r="CF112" s="18">
        <f t="shared" si="224"/>
        <v>0</v>
      </c>
      <c r="CG112" s="18">
        <f t="shared" si="224"/>
        <v>0</v>
      </c>
      <c r="CH112" s="18">
        <f t="shared" si="224"/>
        <v>0</v>
      </c>
      <c r="CI112" s="18">
        <f t="shared" si="224"/>
        <v>0</v>
      </c>
      <c r="CJ112" s="18">
        <f t="shared" si="224"/>
        <v>0</v>
      </c>
      <c r="CK112" s="18">
        <f t="shared" si="224"/>
        <v>0</v>
      </c>
      <c r="CL112" s="18">
        <f t="shared" si="224"/>
        <v>0</v>
      </c>
      <c r="CM112" s="18">
        <f t="shared" si="224"/>
        <v>0</v>
      </c>
      <c r="CN112" s="18">
        <f t="shared" si="224"/>
        <v>0</v>
      </c>
      <c r="CO112" s="18">
        <f t="shared" si="224"/>
        <v>0</v>
      </c>
      <c r="CP112" s="74"/>
      <c r="CQ112" s="74"/>
      <c r="CR112" s="74"/>
      <c r="CS112" s="18">
        <f t="shared" si="224"/>
        <v>0</v>
      </c>
      <c r="CT112" s="18">
        <f t="shared" si="224"/>
        <v>0</v>
      </c>
      <c r="CU112" s="18">
        <f t="shared" si="224"/>
        <v>0</v>
      </c>
      <c r="CV112" s="46">
        <f t="shared" si="224"/>
        <v>0</v>
      </c>
      <c r="CW112" s="57"/>
    </row>
    <row r="113" spans="1:101" ht="21" customHeight="1" x14ac:dyDescent="0.3">
      <c r="A113" s="105"/>
      <c r="B113" s="21" t="s">
        <v>54</v>
      </c>
      <c r="C113" s="32" t="s">
        <v>468</v>
      </c>
      <c r="D113" s="19">
        <f>SUM(E113+BZ113+CS113)</f>
        <v>721478</v>
      </c>
      <c r="E113" s="19">
        <f>SUM(F113+BA113)</f>
        <v>721478</v>
      </c>
      <c r="F113" s="19">
        <f t="shared" ref="F113:F114" si="225">SUM(G113+H113+I113+P113+S113+T113+U113+AE113+AD113)</f>
        <v>721478</v>
      </c>
      <c r="G113" s="19">
        <v>0</v>
      </c>
      <c r="H113" s="19">
        <v>0</v>
      </c>
      <c r="I113" s="19">
        <f t="shared" ref="I113:I114" si="226">SUM(J113:O113)</f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f t="shared" ref="P113:P114" si="227">SUM(Q113:R113)</f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f t="shared" ref="U113:U114" si="228">SUM(V113:AC113)</f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f>SUM(AF113:AZ113)</f>
        <v>721478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721478</v>
      </c>
      <c r="BA113" s="19">
        <f>SUM(BB113+BF113+BI113+BK113+BN113)</f>
        <v>0</v>
      </c>
      <c r="BB113" s="19">
        <f t="shared" ref="BB113:BB114" si="229">SUM(BC113:BE113)</f>
        <v>0</v>
      </c>
      <c r="BC113" s="19">
        <v>0</v>
      </c>
      <c r="BD113" s="19">
        <v>0</v>
      </c>
      <c r="BE113" s="23"/>
      <c r="BF113" s="19">
        <f t="shared" ref="BF113:BF114" si="230">SUM(BH113:BH113)</f>
        <v>0</v>
      </c>
      <c r="BG113" s="19">
        <v>0</v>
      </c>
      <c r="BH113" s="19">
        <v>0</v>
      </c>
      <c r="BI113" s="19">
        <v>0</v>
      </c>
      <c r="BJ113" s="19">
        <v>0</v>
      </c>
      <c r="BK113" s="19">
        <f t="shared" ref="BK113:BK114" si="231">SUM(BL113)</f>
        <v>0</v>
      </c>
      <c r="BL113" s="19">
        <v>0</v>
      </c>
      <c r="BM113" s="19">
        <v>0</v>
      </c>
      <c r="BN113" s="19">
        <f t="shared" ref="BN113:BN114" si="232">SUM(BO113:BY113)</f>
        <v>0</v>
      </c>
      <c r="BO113" s="19">
        <v>0</v>
      </c>
      <c r="BP113" s="19">
        <v>0</v>
      </c>
      <c r="BQ113" s="19">
        <v>0</v>
      </c>
      <c r="BR113" s="19">
        <v>0</v>
      </c>
      <c r="BS113" s="19">
        <v>0</v>
      </c>
      <c r="BT113" s="19">
        <v>0</v>
      </c>
      <c r="BU113" s="19">
        <v>0</v>
      </c>
      <c r="BV113" s="19">
        <v>0</v>
      </c>
      <c r="BW113" s="19">
        <v>0</v>
      </c>
      <c r="BX113" s="19">
        <v>0</v>
      </c>
      <c r="BY113" s="19">
        <v>0</v>
      </c>
      <c r="BZ113" s="19">
        <f>SUM(CA113+CO113)</f>
        <v>0</v>
      </c>
      <c r="CA113" s="19">
        <f>SUM(CB113+CE113+CK113)</f>
        <v>0</v>
      </c>
      <c r="CB113" s="19">
        <f t="shared" ref="CB113:CB114" si="233">SUM(CC113:CD113)</f>
        <v>0</v>
      </c>
      <c r="CC113" s="19">
        <v>0</v>
      </c>
      <c r="CD113" s="19">
        <v>0</v>
      </c>
      <c r="CE113" s="19">
        <f>SUM(CF113:CJ113)</f>
        <v>0</v>
      </c>
      <c r="CF113" s="19">
        <v>0</v>
      </c>
      <c r="CG113" s="19">
        <v>0</v>
      </c>
      <c r="CH113" s="19">
        <v>0</v>
      </c>
      <c r="CI113" s="19">
        <v>0</v>
      </c>
      <c r="CJ113" s="19">
        <v>0</v>
      </c>
      <c r="CK113" s="19">
        <f>SUM(CL113:CN113)</f>
        <v>0</v>
      </c>
      <c r="CL113" s="19">
        <v>0</v>
      </c>
      <c r="CM113" s="19">
        <v>0</v>
      </c>
      <c r="CN113" s="19"/>
      <c r="CO113" s="19">
        <v>0</v>
      </c>
      <c r="CP113" s="75"/>
      <c r="CQ113" s="75"/>
      <c r="CR113" s="75"/>
      <c r="CS113" s="19">
        <f t="shared" ref="CS113:CS114" si="234">SUM(CT113)</f>
        <v>0</v>
      </c>
      <c r="CT113" s="19">
        <f t="shared" ref="CT113:CT114" si="235">SUM(CU113:CV113)</f>
        <v>0</v>
      </c>
      <c r="CU113" s="19">
        <v>0</v>
      </c>
      <c r="CV113" s="20">
        <v>0</v>
      </c>
      <c r="CW113" s="52"/>
    </row>
    <row r="114" spans="1:101" s="58" customFormat="1" ht="31.2" x14ac:dyDescent="0.3">
      <c r="A114" s="105"/>
      <c r="B114" s="21" t="s">
        <v>78</v>
      </c>
      <c r="C114" s="32" t="s">
        <v>469</v>
      </c>
      <c r="D114" s="19">
        <f>SUM(E114+BZ114+CS114)</f>
        <v>4266892</v>
      </c>
      <c r="E114" s="19">
        <f>SUM(F114+BA114)</f>
        <v>4266892</v>
      </c>
      <c r="F114" s="19">
        <f t="shared" si="225"/>
        <v>4266892</v>
      </c>
      <c r="G114" s="19">
        <v>0</v>
      </c>
      <c r="H114" s="19">
        <v>0</v>
      </c>
      <c r="I114" s="19">
        <f t="shared" si="226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227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 t="shared" si="228"/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f>SUM(AF114:AZ114)</f>
        <v>4266892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4266892</v>
      </c>
      <c r="BA114" s="19">
        <f>SUM(BB114+BF114+BI114+BK114+BN114)</f>
        <v>0</v>
      </c>
      <c r="BB114" s="19">
        <f t="shared" si="229"/>
        <v>0</v>
      </c>
      <c r="BC114" s="19">
        <v>0</v>
      </c>
      <c r="BD114" s="19">
        <v>0</v>
      </c>
      <c r="BE114" s="23"/>
      <c r="BF114" s="19">
        <f t="shared" si="230"/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 t="shared" si="231"/>
        <v>0</v>
      </c>
      <c r="BL114" s="19">
        <v>0</v>
      </c>
      <c r="BM114" s="19">
        <v>0</v>
      </c>
      <c r="BN114" s="19">
        <f t="shared" si="232"/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SUM(CA114+CO114)</f>
        <v>0</v>
      </c>
      <c r="CA114" s="19">
        <f>SUM(CB114+CE114+CK114)</f>
        <v>0</v>
      </c>
      <c r="CB114" s="19">
        <f t="shared" si="233"/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SUM(CL114:CN114)</f>
        <v>0</v>
      </c>
      <c r="CL114" s="19">
        <v>0</v>
      </c>
      <c r="CM114" s="19">
        <v>0</v>
      </c>
      <c r="CN114" s="19"/>
      <c r="CO114" s="19">
        <v>0</v>
      </c>
      <c r="CP114" s="75"/>
      <c r="CQ114" s="75"/>
      <c r="CR114" s="75"/>
      <c r="CS114" s="19">
        <f t="shared" si="234"/>
        <v>0</v>
      </c>
      <c r="CT114" s="19">
        <f t="shared" si="235"/>
        <v>0</v>
      </c>
      <c r="CU114" s="19">
        <v>0</v>
      </c>
      <c r="CV114" s="20">
        <v>0</v>
      </c>
      <c r="CW114" s="52"/>
    </row>
    <row r="115" spans="1:101" ht="31.2" x14ac:dyDescent="0.3">
      <c r="A115" s="104" t="s">
        <v>185</v>
      </c>
      <c r="B115" s="16" t="s">
        <v>1</v>
      </c>
      <c r="C115" s="17" t="s">
        <v>186</v>
      </c>
      <c r="D115" s="18">
        <f t="shared" ref="D115:AX115" si="236">SUM(D116:D116)</f>
        <v>1218669</v>
      </c>
      <c r="E115" s="18">
        <f t="shared" si="236"/>
        <v>1218669</v>
      </c>
      <c r="F115" s="18">
        <f t="shared" si="236"/>
        <v>1218669</v>
      </c>
      <c r="G115" s="18">
        <f t="shared" si="236"/>
        <v>0</v>
      </c>
      <c r="H115" s="18">
        <f t="shared" si="236"/>
        <v>0</v>
      </c>
      <c r="I115" s="18">
        <f t="shared" si="236"/>
        <v>0</v>
      </c>
      <c r="J115" s="18">
        <f t="shared" si="236"/>
        <v>0</v>
      </c>
      <c r="K115" s="18">
        <f t="shared" si="236"/>
        <v>0</v>
      </c>
      <c r="L115" s="18">
        <f t="shared" si="236"/>
        <v>0</v>
      </c>
      <c r="M115" s="18">
        <f t="shared" si="236"/>
        <v>0</v>
      </c>
      <c r="N115" s="18">
        <f t="shared" si="236"/>
        <v>0</v>
      </c>
      <c r="O115" s="18">
        <f t="shared" si="236"/>
        <v>0</v>
      </c>
      <c r="P115" s="18">
        <f t="shared" si="236"/>
        <v>0</v>
      </c>
      <c r="Q115" s="18">
        <f t="shared" si="236"/>
        <v>0</v>
      </c>
      <c r="R115" s="18">
        <f t="shared" si="236"/>
        <v>0</v>
      </c>
      <c r="S115" s="18">
        <f t="shared" si="236"/>
        <v>0</v>
      </c>
      <c r="T115" s="18">
        <f t="shared" si="236"/>
        <v>0</v>
      </c>
      <c r="U115" s="18">
        <f t="shared" si="236"/>
        <v>0</v>
      </c>
      <c r="V115" s="18">
        <f t="shared" si="236"/>
        <v>0</v>
      </c>
      <c r="W115" s="18">
        <f t="shared" si="236"/>
        <v>0</v>
      </c>
      <c r="X115" s="18">
        <f t="shared" si="236"/>
        <v>0</v>
      </c>
      <c r="Y115" s="18">
        <f t="shared" si="236"/>
        <v>0</v>
      </c>
      <c r="Z115" s="18">
        <f t="shared" si="236"/>
        <v>0</v>
      </c>
      <c r="AA115" s="18">
        <f t="shared" si="236"/>
        <v>0</v>
      </c>
      <c r="AB115" s="18">
        <f t="shared" si="236"/>
        <v>0</v>
      </c>
      <c r="AC115" s="18">
        <f t="shared" si="236"/>
        <v>0</v>
      </c>
      <c r="AD115" s="18">
        <f t="shared" si="236"/>
        <v>0</v>
      </c>
      <c r="AE115" s="18">
        <f t="shared" si="236"/>
        <v>1218669</v>
      </c>
      <c r="AF115" s="18">
        <f t="shared" si="236"/>
        <v>0</v>
      </c>
      <c r="AG115" s="18">
        <f t="shared" si="236"/>
        <v>0</v>
      </c>
      <c r="AH115" s="18">
        <f t="shared" si="236"/>
        <v>0</v>
      </c>
      <c r="AI115" s="18">
        <f t="shared" si="236"/>
        <v>0</v>
      </c>
      <c r="AJ115" s="18">
        <f t="shared" si="236"/>
        <v>0</v>
      </c>
      <c r="AK115" s="18">
        <f t="shared" si="236"/>
        <v>0</v>
      </c>
      <c r="AL115" s="18">
        <f t="shared" si="236"/>
        <v>0</v>
      </c>
      <c r="AM115" s="18">
        <f t="shared" si="236"/>
        <v>0</v>
      </c>
      <c r="AN115" s="18">
        <f t="shared" si="236"/>
        <v>0</v>
      </c>
      <c r="AO115" s="18">
        <f t="shared" si="236"/>
        <v>0</v>
      </c>
      <c r="AP115" s="18">
        <f t="shared" si="236"/>
        <v>0</v>
      </c>
      <c r="AQ115" s="18">
        <f t="shared" si="236"/>
        <v>0</v>
      </c>
      <c r="AR115" s="18">
        <f t="shared" si="236"/>
        <v>0</v>
      </c>
      <c r="AS115" s="18">
        <f t="shared" si="236"/>
        <v>0</v>
      </c>
      <c r="AT115" s="18">
        <f t="shared" si="236"/>
        <v>0</v>
      </c>
      <c r="AU115" s="18">
        <f t="shared" si="236"/>
        <v>0</v>
      </c>
      <c r="AV115" s="18">
        <f t="shared" si="236"/>
        <v>0</v>
      </c>
      <c r="AW115" s="18">
        <f t="shared" si="236"/>
        <v>0</v>
      </c>
      <c r="AX115" s="18">
        <f t="shared" si="236"/>
        <v>0</v>
      </c>
      <c r="AY115" s="18"/>
      <c r="AZ115" s="18">
        <f t="shared" ref="AZ115:CV115" si="237">SUM(AZ116:AZ116)</f>
        <v>1218669</v>
      </c>
      <c r="BA115" s="18">
        <f t="shared" si="237"/>
        <v>0</v>
      </c>
      <c r="BB115" s="18">
        <f t="shared" si="237"/>
        <v>0</v>
      </c>
      <c r="BC115" s="18">
        <f t="shared" si="237"/>
        <v>0</v>
      </c>
      <c r="BD115" s="18">
        <f t="shared" si="237"/>
        <v>0</v>
      </c>
      <c r="BE115" s="18">
        <f t="shared" si="237"/>
        <v>0</v>
      </c>
      <c r="BF115" s="18">
        <f t="shared" si="237"/>
        <v>0</v>
      </c>
      <c r="BG115" s="18">
        <f t="shared" si="237"/>
        <v>0</v>
      </c>
      <c r="BH115" s="18">
        <f t="shared" si="237"/>
        <v>0</v>
      </c>
      <c r="BI115" s="18">
        <f t="shared" si="237"/>
        <v>0</v>
      </c>
      <c r="BJ115" s="18">
        <f t="shared" si="237"/>
        <v>0</v>
      </c>
      <c r="BK115" s="18">
        <f t="shared" si="237"/>
        <v>0</v>
      </c>
      <c r="BL115" s="18">
        <f t="shared" si="237"/>
        <v>0</v>
      </c>
      <c r="BM115" s="18">
        <f t="shared" si="237"/>
        <v>0</v>
      </c>
      <c r="BN115" s="18">
        <f t="shared" si="237"/>
        <v>0</v>
      </c>
      <c r="BO115" s="18">
        <f t="shared" si="237"/>
        <v>0</v>
      </c>
      <c r="BP115" s="18">
        <f t="shared" si="237"/>
        <v>0</v>
      </c>
      <c r="BQ115" s="18">
        <f t="shared" si="237"/>
        <v>0</v>
      </c>
      <c r="BR115" s="18">
        <f t="shared" si="237"/>
        <v>0</v>
      </c>
      <c r="BS115" s="18">
        <f t="shared" si="237"/>
        <v>0</v>
      </c>
      <c r="BT115" s="18">
        <f t="shared" si="237"/>
        <v>0</v>
      </c>
      <c r="BU115" s="18">
        <f t="shared" si="237"/>
        <v>0</v>
      </c>
      <c r="BV115" s="18">
        <f t="shared" si="237"/>
        <v>0</v>
      </c>
      <c r="BW115" s="18">
        <f t="shared" si="237"/>
        <v>0</v>
      </c>
      <c r="BX115" s="18">
        <f t="shared" si="237"/>
        <v>0</v>
      </c>
      <c r="BY115" s="18">
        <f t="shared" si="237"/>
        <v>0</v>
      </c>
      <c r="BZ115" s="18">
        <f t="shared" si="237"/>
        <v>0</v>
      </c>
      <c r="CA115" s="18">
        <f t="shared" si="237"/>
        <v>0</v>
      </c>
      <c r="CB115" s="18">
        <f t="shared" si="237"/>
        <v>0</v>
      </c>
      <c r="CC115" s="18">
        <f t="shared" si="237"/>
        <v>0</v>
      </c>
      <c r="CD115" s="18">
        <f t="shared" si="237"/>
        <v>0</v>
      </c>
      <c r="CE115" s="18">
        <f t="shared" si="237"/>
        <v>0</v>
      </c>
      <c r="CF115" s="18">
        <f t="shared" si="237"/>
        <v>0</v>
      </c>
      <c r="CG115" s="18">
        <f t="shared" si="237"/>
        <v>0</v>
      </c>
      <c r="CH115" s="18">
        <f t="shared" si="237"/>
        <v>0</v>
      </c>
      <c r="CI115" s="18">
        <f t="shared" si="237"/>
        <v>0</v>
      </c>
      <c r="CJ115" s="18">
        <f t="shared" si="237"/>
        <v>0</v>
      </c>
      <c r="CK115" s="18">
        <f t="shared" si="237"/>
        <v>0</v>
      </c>
      <c r="CL115" s="18">
        <f t="shared" si="237"/>
        <v>0</v>
      </c>
      <c r="CM115" s="18">
        <f t="shared" si="237"/>
        <v>0</v>
      </c>
      <c r="CN115" s="18">
        <f t="shared" si="237"/>
        <v>0</v>
      </c>
      <c r="CO115" s="18">
        <f t="shared" si="237"/>
        <v>0</v>
      </c>
      <c r="CP115" s="74"/>
      <c r="CQ115" s="74"/>
      <c r="CR115" s="74"/>
      <c r="CS115" s="18">
        <f t="shared" si="237"/>
        <v>0</v>
      </c>
      <c r="CT115" s="18">
        <f t="shared" si="237"/>
        <v>0</v>
      </c>
      <c r="CU115" s="18">
        <f t="shared" si="237"/>
        <v>0</v>
      </c>
      <c r="CV115" s="46">
        <f t="shared" si="237"/>
        <v>0</v>
      </c>
      <c r="CW115" s="57"/>
    </row>
    <row r="116" spans="1:101" s="58" customFormat="1" ht="31.2" x14ac:dyDescent="0.3">
      <c r="A116" s="105" t="s">
        <v>1</v>
      </c>
      <c r="B116" s="21" t="s">
        <v>78</v>
      </c>
      <c r="C116" s="22" t="s">
        <v>483</v>
      </c>
      <c r="D116" s="19">
        <f>SUM(E116+BZ116+CS116)</f>
        <v>1218669</v>
      </c>
      <c r="E116" s="19">
        <f>SUM(F116+BA116)</f>
        <v>1218669</v>
      </c>
      <c r="F116" s="19">
        <f>SUM(G116+H116+I116+P116+S116+T116+U116+AE116+AD116)</f>
        <v>1218669</v>
      </c>
      <c r="G116" s="19">
        <v>0</v>
      </c>
      <c r="H116" s="19">
        <v>0</v>
      </c>
      <c r="I116" s="19">
        <f t="shared" si="110"/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f t="shared" si="111"/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f>SUM(V116:AC116)</f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f>SUM(AF116:AZ116)</f>
        <v>1218669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23">
        <v>1218669</v>
      </c>
      <c r="BA116" s="19">
        <f>SUM(BB116+BF116+BI116+BK116+BN116)</f>
        <v>0</v>
      </c>
      <c r="BB116" s="19">
        <f>SUM(BC116:BE116)</f>
        <v>0</v>
      </c>
      <c r="BC116" s="19">
        <v>0</v>
      </c>
      <c r="BD116" s="19">
        <v>0</v>
      </c>
      <c r="BE116" s="19">
        <v>0</v>
      </c>
      <c r="BF116" s="19">
        <f>SUM(BH116:BH116)</f>
        <v>0</v>
      </c>
      <c r="BG116" s="19">
        <v>0</v>
      </c>
      <c r="BH116" s="19">
        <v>0</v>
      </c>
      <c r="BI116" s="19">
        <v>0</v>
      </c>
      <c r="BJ116" s="19">
        <v>0</v>
      </c>
      <c r="BK116" s="19">
        <f t="shared" si="112"/>
        <v>0</v>
      </c>
      <c r="BL116" s="19">
        <v>0</v>
      </c>
      <c r="BM116" s="19">
        <v>0</v>
      </c>
      <c r="BN116" s="19">
        <f>SUM(BO116:BY116)</f>
        <v>0</v>
      </c>
      <c r="BO116" s="19">
        <v>0</v>
      </c>
      <c r="BP116" s="19">
        <v>0</v>
      </c>
      <c r="BQ116" s="19">
        <v>0</v>
      </c>
      <c r="BR116" s="19">
        <v>0</v>
      </c>
      <c r="BS116" s="19">
        <v>0</v>
      </c>
      <c r="BT116" s="19">
        <v>0</v>
      </c>
      <c r="BU116" s="19">
        <v>0</v>
      </c>
      <c r="BV116" s="19">
        <v>0</v>
      </c>
      <c r="BW116" s="19">
        <v>0</v>
      </c>
      <c r="BX116" s="19">
        <v>0</v>
      </c>
      <c r="BY116" s="19">
        <v>0</v>
      </c>
      <c r="BZ116" s="19">
        <f>SUM(CA116+CO116)</f>
        <v>0</v>
      </c>
      <c r="CA116" s="19">
        <f>SUM(CB116+CE116+CK116)</f>
        <v>0</v>
      </c>
      <c r="CB116" s="19">
        <f t="shared" si="113"/>
        <v>0</v>
      </c>
      <c r="CC116" s="19">
        <v>0</v>
      </c>
      <c r="CD116" s="19">
        <v>0</v>
      </c>
      <c r="CE116" s="19">
        <f>SUM(CF116:CJ116)</f>
        <v>0</v>
      </c>
      <c r="CF116" s="19">
        <v>0</v>
      </c>
      <c r="CG116" s="19">
        <v>0</v>
      </c>
      <c r="CH116" s="19">
        <v>0</v>
      </c>
      <c r="CI116" s="19">
        <v>0</v>
      </c>
      <c r="CJ116" s="19">
        <v>0</v>
      </c>
      <c r="CK116" s="19">
        <f>SUM(CL116:CN116)</f>
        <v>0</v>
      </c>
      <c r="CL116" s="19">
        <v>0</v>
      </c>
      <c r="CM116" s="19">
        <v>0</v>
      </c>
      <c r="CN116" s="19"/>
      <c r="CO116" s="19">
        <v>0</v>
      </c>
      <c r="CP116" s="75"/>
      <c r="CQ116" s="75"/>
      <c r="CR116" s="75"/>
      <c r="CS116" s="19">
        <f t="shared" si="114"/>
        <v>0</v>
      </c>
      <c r="CT116" s="19">
        <f t="shared" si="115"/>
        <v>0</v>
      </c>
      <c r="CU116" s="19">
        <v>0</v>
      </c>
      <c r="CV116" s="20">
        <v>0</v>
      </c>
      <c r="CW116" s="52"/>
    </row>
    <row r="117" spans="1:101" s="58" customFormat="1" ht="15.6" x14ac:dyDescent="0.3">
      <c r="A117" s="106" t="s">
        <v>187</v>
      </c>
      <c r="B117" s="25" t="s">
        <v>1</v>
      </c>
      <c r="C117" s="26" t="s">
        <v>188</v>
      </c>
      <c r="D117" s="27">
        <f>SUM(D118+D122+D126+D130+D132+D134)</f>
        <v>423206914</v>
      </c>
      <c r="E117" s="27">
        <f t="shared" ref="E117:BT117" si="238">SUM(E118+E122+E126+E130+E132+E134)</f>
        <v>421651082</v>
      </c>
      <c r="F117" s="27">
        <f t="shared" si="238"/>
        <v>379845647</v>
      </c>
      <c r="G117" s="27">
        <f t="shared" si="238"/>
        <v>269884270</v>
      </c>
      <c r="H117" s="27">
        <f t="shared" si="238"/>
        <v>63694034</v>
      </c>
      <c r="I117" s="27">
        <f t="shared" si="238"/>
        <v>29333756</v>
      </c>
      <c r="J117" s="27">
        <f t="shared" si="238"/>
        <v>409710</v>
      </c>
      <c r="K117" s="27">
        <f t="shared" si="238"/>
        <v>1702031</v>
      </c>
      <c r="L117" s="27">
        <f t="shared" si="238"/>
        <v>23117636</v>
      </c>
      <c r="M117" s="27">
        <f t="shared" si="238"/>
        <v>0</v>
      </c>
      <c r="N117" s="27">
        <f t="shared" si="238"/>
        <v>2312503</v>
      </c>
      <c r="O117" s="27">
        <f t="shared" si="238"/>
        <v>1791876</v>
      </c>
      <c r="P117" s="27">
        <f t="shared" si="238"/>
        <v>0</v>
      </c>
      <c r="Q117" s="27">
        <f t="shared" si="238"/>
        <v>0</v>
      </c>
      <c r="R117" s="27">
        <f t="shared" si="238"/>
        <v>0</v>
      </c>
      <c r="S117" s="27">
        <f t="shared" si="238"/>
        <v>0</v>
      </c>
      <c r="T117" s="27">
        <f t="shared" si="238"/>
        <v>723321</v>
      </c>
      <c r="U117" s="27">
        <f t="shared" si="238"/>
        <v>10469631</v>
      </c>
      <c r="V117" s="27">
        <f t="shared" si="238"/>
        <v>505920</v>
      </c>
      <c r="W117" s="27">
        <f t="shared" si="238"/>
        <v>6732239</v>
      </c>
      <c r="X117" s="27">
        <f t="shared" si="238"/>
        <v>1700449</v>
      </c>
      <c r="Y117" s="27">
        <f t="shared" si="238"/>
        <v>1089280</v>
      </c>
      <c r="Z117" s="27">
        <f t="shared" si="238"/>
        <v>340238</v>
      </c>
      <c r="AA117" s="27">
        <f t="shared" si="238"/>
        <v>0</v>
      </c>
      <c r="AB117" s="27">
        <f t="shared" si="238"/>
        <v>0</v>
      </c>
      <c r="AC117" s="27">
        <f t="shared" si="238"/>
        <v>101505</v>
      </c>
      <c r="AD117" s="27">
        <f t="shared" si="238"/>
        <v>0</v>
      </c>
      <c r="AE117" s="27">
        <f t="shared" si="238"/>
        <v>5740635</v>
      </c>
      <c r="AF117" s="27">
        <f t="shared" si="238"/>
        <v>0</v>
      </c>
      <c r="AG117" s="27">
        <f t="shared" si="238"/>
        <v>0</v>
      </c>
      <c r="AH117" s="27">
        <f t="shared" si="238"/>
        <v>110169</v>
      </c>
      <c r="AI117" s="27">
        <f t="shared" si="238"/>
        <v>1306583</v>
      </c>
      <c r="AJ117" s="27">
        <f t="shared" si="238"/>
        <v>419972</v>
      </c>
      <c r="AK117" s="27">
        <f t="shared" si="238"/>
        <v>406599</v>
      </c>
      <c r="AL117" s="27">
        <f t="shared" si="238"/>
        <v>0</v>
      </c>
      <c r="AM117" s="27">
        <f t="shared" si="238"/>
        <v>12447</v>
      </c>
      <c r="AN117" s="27">
        <f t="shared" si="238"/>
        <v>375189</v>
      </c>
      <c r="AO117" s="27">
        <f t="shared" si="238"/>
        <v>0</v>
      </c>
      <c r="AP117" s="27">
        <f t="shared" si="238"/>
        <v>2847</v>
      </c>
      <c r="AQ117" s="27">
        <f t="shared" si="238"/>
        <v>0</v>
      </c>
      <c r="AR117" s="27">
        <f t="shared" si="238"/>
        <v>1436878</v>
      </c>
      <c r="AS117" s="27">
        <f t="shared" si="238"/>
        <v>164676</v>
      </c>
      <c r="AT117" s="27"/>
      <c r="AU117" s="27"/>
      <c r="AV117" s="27">
        <f t="shared" si="238"/>
        <v>0</v>
      </c>
      <c r="AW117" s="27">
        <f t="shared" si="238"/>
        <v>0</v>
      </c>
      <c r="AX117" s="27">
        <f t="shared" si="238"/>
        <v>0</v>
      </c>
      <c r="AY117" s="27"/>
      <c r="AZ117" s="27">
        <f t="shared" si="238"/>
        <v>1505275</v>
      </c>
      <c r="BA117" s="27">
        <f t="shared" si="238"/>
        <v>41805435</v>
      </c>
      <c r="BB117" s="27">
        <f t="shared" si="238"/>
        <v>0</v>
      </c>
      <c r="BC117" s="27">
        <f t="shared" si="238"/>
        <v>0</v>
      </c>
      <c r="BD117" s="27">
        <f t="shared" si="238"/>
        <v>0</v>
      </c>
      <c r="BE117" s="27">
        <f t="shared" si="238"/>
        <v>0</v>
      </c>
      <c r="BF117" s="27">
        <f t="shared" si="238"/>
        <v>0</v>
      </c>
      <c r="BG117" s="27">
        <f t="shared" si="238"/>
        <v>0</v>
      </c>
      <c r="BH117" s="27">
        <f t="shared" si="238"/>
        <v>0</v>
      </c>
      <c r="BI117" s="27">
        <f t="shared" si="238"/>
        <v>0</v>
      </c>
      <c r="BJ117" s="27">
        <f t="shared" ref="BJ117" si="239">SUM(BJ118+BJ122+BJ126+BJ130+BJ132+BJ134)</f>
        <v>0</v>
      </c>
      <c r="BK117" s="27">
        <f t="shared" si="238"/>
        <v>0</v>
      </c>
      <c r="BL117" s="27">
        <f t="shared" si="238"/>
        <v>0</v>
      </c>
      <c r="BM117" s="27">
        <f t="shared" ref="BM117" si="240">SUM(BM118+BM122+BM126+BM130+BM132+BM134)</f>
        <v>0</v>
      </c>
      <c r="BN117" s="27">
        <f t="shared" si="238"/>
        <v>41805435</v>
      </c>
      <c r="BO117" s="27">
        <f t="shared" si="238"/>
        <v>0</v>
      </c>
      <c r="BP117" s="27">
        <f t="shared" si="238"/>
        <v>0</v>
      </c>
      <c r="BQ117" s="27">
        <f t="shared" si="238"/>
        <v>16646169</v>
      </c>
      <c r="BR117" s="27">
        <f t="shared" si="238"/>
        <v>0</v>
      </c>
      <c r="BS117" s="27">
        <f t="shared" si="238"/>
        <v>0</v>
      </c>
      <c r="BT117" s="27">
        <f t="shared" si="238"/>
        <v>328732</v>
      </c>
      <c r="BU117" s="27">
        <f t="shared" ref="BU117:CV117" si="241">SUM(BU118+BU122+BU126+BU130+BU132+BU134)</f>
        <v>0</v>
      </c>
      <c r="BV117" s="27">
        <f t="shared" si="241"/>
        <v>0</v>
      </c>
      <c r="BW117" s="27">
        <f t="shared" si="241"/>
        <v>0</v>
      </c>
      <c r="BX117" s="27">
        <f t="shared" si="241"/>
        <v>13649548</v>
      </c>
      <c r="BY117" s="27">
        <f t="shared" si="241"/>
        <v>11180986</v>
      </c>
      <c r="BZ117" s="27">
        <f t="shared" si="241"/>
        <v>1555832</v>
      </c>
      <c r="CA117" s="27">
        <f t="shared" si="241"/>
        <v>1555832</v>
      </c>
      <c r="CB117" s="27">
        <f t="shared" si="241"/>
        <v>1555832</v>
      </c>
      <c r="CC117" s="27">
        <f t="shared" si="241"/>
        <v>0</v>
      </c>
      <c r="CD117" s="27">
        <f t="shared" si="241"/>
        <v>1555832</v>
      </c>
      <c r="CE117" s="27">
        <f t="shared" si="241"/>
        <v>0</v>
      </c>
      <c r="CF117" s="27">
        <f t="shared" si="241"/>
        <v>0</v>
      </c>
      <c r="CG117" s="27">
        <f t="shared" ref="CG117:CH117" si="242">SUM(CG118+CG122+CG126+CG130+CG132+CG134)</f>
        <v>0</v>
      </c>
      <c r="CH117" s="27">
        <f t="shared" si="242"/>
        <v>0</v>
      </c>
      <c r="CI117" s="27">
        <f t="shared" si="241"/>
        <v>0</v>
      </c>
      <c r="CJ117" s="27">
        <f t="shared" ref="CJ117" si="243">SUM(CJ118+CJ122+CJ126+CJ130+CJ132+CJ134)</f>
        <v>0</v>
      </c>
      <c r="CK117" s="27">
        <f t="shared" si="241"/>
        <v>0</v>
      </c>
      <c r="CL117" s="27">
        <f t="shared" ref="CL117" si="244">SUM(CL118+CL122+CL126+CL130+CL132+CL134)</f>
        <v>0</v>
      </c>
      <c r="CM117" s="27">
        <f t="shared" si="241"/>
        <v>0</v>
      </c>
      <c r="CN117" s="27"/>
      <c r="CO117" s="27">
        <f t="shared" si="241"/>
        <v>0</v>
      </c>
      <c r="CP117" s="27">
        <f t="shared" si="241"/>
        <v>0</v>
      </c>
      <c r="CQ117" s="27">
        <f t="shared" si="241"/>
        <v>0</v>
      </c>
      <c r="CR117" s="27">
        <f t="shared" si="241"/>
        <v>0</v>
      </c>
      <c r="CS117" s="27">
        <f t="shared" si="241"/>
        <v>0</v>
      </c>
      <c r="CT117" s="27">
        <f t="shared" si="241"/>
        <v>0</v>
      </c>
      <c r="CU117" s="27">
        <f t="shared" si="241"/>
        <v>0</v>
      </c>
      <c r="CV117" s="60">
        <f t="shared" si="241"/>
        <v>0</v>
      </c>
      <c r="CW117" s="57"/>
    </row>
    <row r="118" spans="1:101" ht="15.6" x14ac:dyDescent="0.3">
      <c r="A118" s="104" t="s">
        <v>189</v>
      </c>
      <c r="B118" s="16" t="s">
        <v>1</v>
      </c>
      <c r="C118" s="17" t="s">
        <v>190</v>
      </c>
      <c r="D118" s="18">
        <f>SUM(D119:D121)</f>
        <v>87182414</v>
      </c>
      <c r="E118" s="18">
        <f t="shared" ref="E118:BT118" si="245">SUM(E119:E121)</f>
        <v>86511810</v>
      </c>
      <c r="F118" s="18">
        <f t="shared" si="245"/>
        <v>77890662</v>
      </c>
      <c r="G118" s="18">
        <f t="shared" si="245"/>
        <v>45618940</v>
      </c>
      <c r="H118" s="18">
        <f t="shared" si="245"/>
        <v>10764625</v>
      </c>
      <c r="I118" s="18">
        <f t="shared" si="245"/>
        <v>16402736</v>
      </c>
      <c r="J118" s="18">
        <f t="shared" si="245"/>
        <v>252029</v>
      </c>
      <c r="K118" s="18">
        <f t="shared" si="245"/>
        <v>1263149</v>
      </c>
      <c r="L118" s="18">
        <f t="shared" si="245"/>
        <v>13352857</v>
      </c>
      <c r="M118" s="18">
        <f t="shared" si="245"/>
        <v>0</v>
      </c>
      <c r="N118" s="18">
        <f t="shared" si="245"/>
        <v>717438</v>
      </c>
      <c r="O118" s="18">
        <f t="shared" si="245"/>
        <v>817263</v>
      </c>
      <c r="P118" s="18">
        <f t="shared" si="245"/>
        <v>0</v>
      </c>
      <c r="Q118" s="18">
        <f t="shared" si="245"/>
        <v>0</v>
      </c>
      <c r="R118" s="18">
        <f t="shared" si="245"/>
        <v>0</v>
      </c>
      <c r="S118" s="18">
        <f t="shared" si="245"/>
        <v>0</v>
      </c>
      <c r="T118" s="18">
        <f t="shared" si="245"/>
        <v>103614</v>
      </c>
      <c r="U118" s="18">
        <f t="shared" si="245"/>
        <v>2769588</v>
      </c>
      <c r="V118" s="18">
        <f t="shared" si="245"/>
        <v>174110</v>
      </c>
      <c r="W118" s="18">
        <f t="shared" si="245"/>
        <v>1413789</v>
      </c>
      <c r="X118" s="18">
        <f t="shared" si="245"/>
        <v>542590</v>
      </c>
      <c r="Y118" s="18">
        <f t="shared" si="245"/>
        <v>454409</v>
      </c>
      <c r="Z118" s="18">
        <f t="shared" si="245"/>
        <v>83499</v>
      </c>
      <c r="AA118" s="18">
        <f t="shared" si="245"/>
        <v>0</v>
      </c>
      <c r="AB118" s="18">
        <f t="shared" si="245"/>
        <v>0</v>
      </c>
      <c r="AC118" s="18">
        <f t="shared" si="245"/>
        <v>101191</v>
      </c>
      <c r="AD118" s="18">
        <f t="shared" si="245"/>
        <v>0</v>
      </c>
      <c r="AE118" s="18">
        <f t="shared" si="245"/>
        <v>2231159</v>
      </c>
      <c r="AF118" s="18">
        <f t="shared" si="245"/>
        <v>0</v>
      </c>
      <c r="AG118" s="18">
        <f t="shared" si="245"/>
        <v>0</v>
      </c>
      <c r="AH118" s="18">
        <f t="shared" si="245"/>
        <v>70352</v>
      </c>
      <c r="AI118" s="18">
        <f t="shared" si="245"/>
        <v>774173</v>
      </c>
      <c r="AJ118" s="18">
        <f t="shared" si="245"/>
        <v>145177</v>
      </c>
      <c r="AK118" s="18">
        <f t="shared" si="245"/>
        <v>370345</v>
      </c>
      <c r="AL118" s="18">
        <f t="shared" si="245"/>
        <v>0</v>
      </c>
      <c r="AM118" s="18">
        <f t="shared" si="245"/>
        <v>10935</v>
      </c>
      <c r="AN118" s="18">
        <f t="shared" si="245"/>
        <v>12852</v>
      </c>
      <c r="AO118" s="18">
        <f t="shared" si="245"/>
        <v>0</v>
      </c>
      <c r="AP118" s="18">
        <f t="shared" si="245"/>
        <v>2847</v>
      </c>
      <c r="AQ118" s="18">
        <f t="shared" si="245"/>
        <v>0</v>
      </c>
      <c r="AR118" s="18">
        <f t="shared" si="245"/>
        <v>634323</v>
      </c>
      <c r="AS118" s="18">
        <f t="shared" si="245"/>
        <v>31572</v>
      </c>
      <c r="AT118" s="18"/>
      <c r="AU118" s="18"/>
      <c r="AV118" s="18">
        <f t="shared" si="245"/>
        <v>0</v>
      </c>
      <c r="AW118" s="18">
        <f t="shared" si="245"/>
        <v>0</v>
      </c>
      <c r="AX118" s="18">
        <f t="shared" si="245"/>
        <v>0</v>
      </c>
      <c r="AY118" s="18"/>
      <c r="AZ118" s="18">
        <f t="shared" si="245"/>
        <v>178583</v>
      </c>
      <c r="BA118" s="18">
        <f t="shared" si="245"/>
        <v>8621148</v>
      </c>
      <c r="BB118" s="18">
        <f t="shared" si="245"/>
        <v>0</v>
      </c>
      <c r="BC118" s="18">
        <f t="shared" si="245"/>
        <v>0</v>
      </c>
      <c r="BD118" s="18">
        <f t="shared" si="245"/>
        <v>0</v>
      </c>
      <c r="BE118" s="18">
        <f t="shared" si="245"/>
        <v>0</v>
      </c>
      <c r="BF118" s="18">
        <f t="shared" si="245"/>
        <v>0</v>
      </c>
      <c r="BG118" s="18">
        <f t="shared" si="245"/>
        <v>0</v>
      </c>
      <c r="BH118" s="18">
        <f t="shared" si="245"/>
        <v>0</v>
      </c>
      <c r="BI118" s="18">
        <f t="shared" si="245"/>
        <v>0</v>
      </c>
      <c r="BJ118" s="18">
        <f t="shared" ref="BJ118" si="246">SUM(BJ119:BJ121)</f>
        <v>0</v>
      </c>
      <c r="BK118" s="18">
        <f t="shared" si="245"/>
        <v>0</v>
      </c>
      <c r="BL118" s="18">
        <f t="shared" si="245"/>
        <v>0</v>
      </c>
      <c r="BM118" s="18">
        <f t="shared" ref="BM118" si="247">SUM(BM119:BM121)</f>
        <v>0</v>
      </c>
      <c r="BN118" s="18">
        <f t="shared" si="245"/>
        <v>8621148</v>
      </c>
      <c r="BO118" s="18">
        <f t="shared" si="245"/>
        <v>0</v>
      </c>
      <c r="BP118" s="18">
        <f t="shared" si="245"/>
        <v>0</v>
      </c>
      <c r="BQ118" s="18">
        <f t="shared" si="245"/>
        <v>0</v>
      </c>
      <c r="BR118" s="18">
        <f t="shared" si="245"/>
        <v>0</v>
      </c>
      <c r="BS118" s="18">
        <f t="shared" si="245"/>
        <v>0</v>
      </c>
      <c r="BT118" s="18">
        <f t="shared" si="245"/>
        <v>328732</v>
      </c>
      <c r="BU118" s="18">
        <f t="shared" ref="BU118:CV118" si="248">SUM(BU119:BU121)</f>
        <v>0</v>
      </c>
      <c r="BV118" s="18">
        <f t="shared" si="248"/>
        <v>0</v>
      </c>
      <c r="BW118" s="18">
        <f t="shared" si="248"/>
        <v>0</v>
      </c>
      <c r="BX118" s="18">
        <f t="shared" si="248"/>
        <v>0</v>
      </c>
      <c r="BY118" s="18">
        <f t="shared" si="248"/>
        <v>8292416</v>
      </c>
      <c r="BZ118" s="18">
        <f t="shared" si="248"/>
        <v>670604</v>
      </c>
      <c r="CA118" s="18">
        <f t="shared" si="248"/>
        <v>670604</v>
      </c>
      <c r="CB118" s="18">
        <f t="shared" si="248"/>
        <v>670604</v>
      </c>
      <c r="CC118" s="18">
        <f t="shared" si="248"/>
        <v>0</v>
      </c>
      <c r="CD118" s="18">
        <f t="shared" si="248"/>
        <v>670604</v>
      </c>
      <c r="CE118" s="18">
        <f t="shared" si="248"/>
        <v>0</v>
      </c>
      <c r="CF118" s="18">
        <f t="shared" si="248"/>
        <v>0</v>
      </c>
      <c r="CG118" s="18">
        <f t="shared" ref="CG118:CH118" si="249">SUM(CG119:CG121)</f>
        <v>0</v>
      </c>
      <c r="CH118" s="18">
        <f t="shared" si="249"/>
        <v>0</v>
      </c>
      <c r="CI118" s="18">
        <f t="shared" si="248"/>
        <v>0</v>
      </c>
      <c r="CJ118" s="18">
        <f t="shared" ref="CJ118" si="250">SUM(CJ119:CJ121)</f>
        <v>0</v>
      </c>
      <c r="CK118" s="18">
        <f t="shared" si="248"/>
        <v>0</v>
      </c>
      <c r="CL118" s="18">
        <f t="shared" ref="CL118" si="251">SUM(CL119:CL121)</f>
        <v>0</v>
      </c>
      <c r="CM118" s="18">
        <f t="shared" si="248"/>
        <v>0</v>
      </c>
      <c r="CN118" s="18"/>
      <c r="CO118" s="18">
        <f t="shared" si="248"/>
        <v>0</v>
      </c>
      <c r="CP118" s="74"/>
      <c r="CQ118" s="74"/>
      <c r="CR118" s="74"/>
      <c r="CS118" s="18">
        <f t="shared" si="248"/>
        <v>0</v>
      </c>
      <c r="CT118" s="18">
        <f t="shared" si="248"/>
        <v>0</v>
      </c>
      <c r="CU118" s="18">
        <f t="shared" si="248"/>
        <v>0</v>
      </c>
      <c r="CV118" s="46">
        <f t="shared" si="248"/>
        <v>0</v>
      </c>
      <c r="CW118" s="57"/>
    </row>
    <row r="119" spans="1:101" ht="15.6" x14ac:dyDescent="0.3">
      <c r="A119" s="105" t="s">
        <v>1</v>
      </c>
      <c r="B119" s="21" t="s">
        <v>56</v>
      </c>
      <c r="C119" s="22" t="s">
        <v>191</v>
      </c>
      <c r="D119" s="19">
        <f>SUM(E119+BZ119+CS119)</f>
        <v>28217402</v>
      </c>
      <c r="E119" s="19">
        <f>SUM(F119+BA119)</f>
        <v>28069719</v>
      </c>
      <c r="F119" s="19">
        <f>SUM(G119+H119+I119+P119+S119+T119+U119+AE119+AD119)</f>
        <v>23024471</v>
      </c>
      <c r="G119" s="23">
        <v>12152635</v>
      </c>
      <c r="H119" s="23">
        <v>2950975</v>
      </c>
      <c r="I119" s="19">
        <f t="shared" si="110"/>
        <v>6223290</v>
      </c>
      <c r="J119" s="23">
        <v>71191</v>
      </c>
      <c r="K119" s="23">
        <v>583117</v>
      </c>
      <c r="L119" s="23">
        <v>4866361</v>
      </c>
      <c r="M119" s="23">
        <v>0</v>
      </c>
      <c r="N119" s="23">
        <v>444329</v>
      </c>
      <c r="O119" s="23">
        <v>258292</v>
      </c>
      <c r="P119" s="19">
        <f t="shared" si="111"/>
        <v>0</v>
      </c>
      <c r="Q119" s="19">
        <v>0</v>
      </c>
      <c r="R119" s="19">
        <v>0</v>
      </c>
      <c r="S119" s="19">
        <v>0</v>
      </c>
      <c r="T119" s="23">
        <v>29611</v>
      </c>
      <c r="U119" s="19">
        <f t="shared" ref="U119:U121" si="252">SUM(V119:AC119)</f>
        <v>967293</v>
      </c>
      <c r="V119" s="23">
        <v>43071</v>
      </c>
      <c r="W119" s="23">
        <v>465619</v>
      </c>
      <c r="X119" s="23">
        <v>220429</v>
      </c>
      <c r="Y119" s="23">
        <v>169716</v>
      </c>
      <c r="Z119" s="23">
        <v>24371</v>
      </c>
      <c r="AA119" s="23">
        <v>0</v>
      </c>
      <c r="AB119" s="23">
        <v>0</v>
      </c>
      <c r="AC119" s="23">
        <v>44087</v>
      </c>
      <c r="AD119" s="19">
        <v>0</v>
      </c>
      <c r="AE119" s="19">
        <f>SUM(AF119:AZ119)</f>
        <v>700667</v>
      </c>
      <c r="AF119" s="19">
        <v>0</v>
      </c>
      <c r="AG119" s="19">
        <v>0</v>
      </c>
      <c r="AH119" s="23">
        <v>23352</v>
      </c>
      <c r="AI119" s="23">
        <v>317066</v>
      </c>
      <c r="AJ119" s="23">
        <v>0</v>
      </c>
      <c r="AK119" s="23">
        <v>14591</v>
      </c>
      <c r="AL119" s="23">
        <v>0</v>
      </c>
      <c r="AM119" s="23">
        <v>9800</v>
      </c>
      <c r="AN119" s="23">
        <v>6235</v>
      </c>
      <c r="AO119" s="23">
        <v>0</v>
      </c>
      <c r="AP119" s="23">
        <v>2847</v>
      </c>
      <c r="AQ119" s="23">
        <v>0</v>
      </c>
      <c r="AR119" s="23">
        <v>260250</v>
      </c>
      <c r="AS119" s="23">
        <v>0</v>
      </c>
      <c r="AT119" s="23">
        <v>0</v>
      </c>
      <c r="AU119" s="23">
        <v>0</v>
      </c>
      <c r="AV119" s="23">
        <v>0</v>
      </c>
      <c r="AW119" s="23">
        <v>0</v>
      </c>
      <c r="AX119" s="23">
        <v>0</v>
      </c>
      <c r="AY119" s="23">
        <v>0</v>
      </c>
      <c r="AZ119" s="23">
        <v>66526</v>
      </c>
      <c r="BA119" s="19">
        <f>SUM(BB119+BF119+BI119+BK119+BN119)</f>
        <v>5045248</v>
      </c>
      <c r="BB119" s="19">
        <f>SUM(BC119:BE119)</f>
        <v>0</v>
      </c>
      <c r="BC119" s="19">
        <v>0</v>
      </c>
      <c r="BD119" s="19">
        <v>0</v>
      </c>
      <c r="BE119" s="19">
        <v>0</v>
      </c>
      <c r="BF119" s="19">
        <f>SUM(BH119:BH119)</f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si="112"/>
        <v>0</v>
      </c>
      <c r="BL119" s="19">
        <v>0</v>
      </c>
      <c r="BM119" s="19">
        <v>0</v>
      </c>
      <c r="BN119" s="19">
        <f>SUM(BO119:BY119)</f>
        <v>5045248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24">
        <v>176473</v>
      </c>
      <c r="BU119" s="19">
        <v>0</v>
      </c>
      <c r="BV119" s="19">
        <v>0</v>
      </c>
      <c r="BW119" s="19">
        <v>0</v>
      </c>
      <c r="BX119" s="19">
        <v>0</v>
      </c>
      <c r="BY119" s="23">
        <v>4868775</v>
      </c>
      <c r="BZ119" s="19">
        <f>SUM(CA119+CO119)</f>
        <v>147683</v>
      </c>
      <c r="CA119" s="19">
        <f>SUM(CB119+CE119+CK119)</f>
        <v>147683</v>
      </c>
      <c r="CB119" s="19">
        <f t="shared" si="113"/>
        <v>147683</v>
      </c>
      <c r="CC119" s="19">
        <v>0</v>
      </c>
      <c r="CD119" s="23">
        <v>147683</v>
      </c>
      <c r="CE119" s="19">
        <f t="shared" ref="CE119:CE121" si="253"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>SUM(CL119:CN119)</f>
        <v>0</v>
      </c>
      <c r="CL119" s="19">
        <v>0</v>
      </c>
      <c r="CM119" s="19">
        <v>0</v>
      </c>
      <c r="CN119" s="19"/>
      <c r="CO119" s="19">
        <v>0</v>
      </c>
      <c r="CP119" s="75"/>
      <c r="CQ119" s="75"/>
      <c r="CR119" s="75"/>
      <c r="CS119" s="19">
        <f t="shared" si="114"/>
        <v>0</v>
      </c>
      <c r="CT119" s="19">
        <f t="shared" si="115"/>
        <v>0</v>
      </c>
      <c r="CU119" s="19">
        <v>0</v>
      </c>
      <c r="CV119" s="20">
        <v>0</v>
      </c>
      <c r="CW119" s="52"/>
    </row>
    <row r="120" spans="1:101" ht="15.6" x14ac:dyDescent="0.3">
      <c r="A120" s="105" t="s">
        <v>1</v>
      </c>
      <c r="B120" s="21" t="s">
        <v>56</v>
      </c>
      <c r="C120" s="22" t="s">
        <v>192</v>
      </c>
      <c r="D120" s="19">
        <f>SUM(E120+BZ120+CS120)</f>
        <v>46414143</v>
      </c>
      <c r="E120" s="19">
        <f>SUM(F120+BA120)</f>
        <v>45891222</v>
      </c>
      <c r="F120" s="19">
        <f>SUM(G120+H120+I120+P120+S120+T120+U120+AE120+AD120)</f>
        <v>42315322</v>
      </c>
      <c r="G120" s="23">
        <v>24341405</v>
      </c>
      <c r="H120" s="23">
        <v>5678621</v>
      </c>
      <c r="I120" s="19">
        <f t="shared" si="110"/>
        <v>9612347</v>
      </c>
      <c r="J120" s="23">
        <v>173545</v>
      </c>
      <c r="K120" s="23">
        <v>680032</v>
      </c>
      <c r="L120" s="23">
        <v>8012953</v>
      </c>
      <c r="M120" s="23">
        <v>0</v>
      </c>
      <c r="N120" s="23">
        <v>273109</v>
      </c>
      <c r="O120" s="23">
        <v>472708</v>
      </c>
      <c r="P120" s="19">
        <f t="shared" si="111"/>
        <v>0</v>
      </c>
      <c r="Q120" s="19">
        <v>0</v>
      </c>
      <c r="R120" s="19">
        <v>0</v>
      </c>
      <c r="S120" s="19">
        <v>0</v>
      </c>
      <c r="T120" s="23">
        <v>36490</v>
      </c>
      <c r="U120" s="19">
        <f t="shared" si="252"/>
        <v>1202655</v>
      </c>
      <c r="V120" s="23">
        <v>108076</v>
      </c>
      <c r="W120" s="23">
        <v>542661</v>
      </c>
      <c r="X120" s="23">
        <v>224689</v>
      </c>
      <c r="Y120" s="23">
        <v>227741</v>
      </c>
      <c r="Z120" s="23">
        <v>42384</v>
      </c>
      <c r="AA120" s="23">
        <v>0</v>
      </c>
      <c r="AB120" s="23">
        <v>0</v>
      </c>
      <c r="AC120" s="23">
        <v>57104</v>
      </c>
      <c r="AD120" s="19">
        <v>0</v>
      </c>
      <c r="AE120" s="19">
        <f>SUM(AF120:AZ120)</f>
        <v>1443804</v>
      </c>
      <c r="AF120" s="19">
        <v>0</v>
      </c>
      <c r="AG120" s="19">
        <v>0</v>
      </c>
      <c r="AH120" s="23">
        <v>47000</v>
      </c>
      <c r="AI120" s="23">
        <v>457107</v>
      </c>
      <c r="AJ120" s="23">
        <v>145177</v>
      </c>
      <c r="AK120" s="23">
        <v>355754</v>
      </c>
      <c r="AL120" s="23">
        <v>0</v>
      </c>
      <c r="AM120" s="23">
        <v>1135</v>
      </c>
      <c r="AN120" s="23">
        <v>6617</v>
      </c>
      <c r="AO120" s="23">
        <v>0</v>
      </c>
      <c r="AP120" s="23">
        <v>0</v>
      </c>
      <c r="AQ120" s="23">
        <v>0</v>
      </c>
      <c r="AR120" s="23">
        <v>287385</v>
      </c>
      <c r="AS120" s="23">
        <v>31572</v>
      </c>
      <c r="AT120" s="23">
        <v>0</v>
      </c>
      <c r="AU120" s="23">
        <v>0</v>
      </c>
      <c r="AV120" s="23">
        <v>0</v>
      </c>
      <c r="AW120" s="23">
        <v>0</v>
      </c>
      <c r="AX120" s="23">
        <v>0</v>
      </c>
      <c r="AY120" s="23">
        <v>0</v>
      </c>
      <c r="AZ120" s="23">
        <v>112057</v>
      </c>
      <c r="BA120" s="19">
        <f>SUM(BB120+BF120+BI120+BK120+BN120)</f>
        <v>3575900</v>
      </c>
      <c r="BB120" s="19">
        <f>SUM(BC120:BE120)</f>
        <v>0</v>
      </c>
      <c r="BC120" s="19">
        <v>0</v>
      </c>
      <c r="BD120" s="19">
        <v>0</v>
      </c>
      <c r="BE120" s="19">
        <v>0</v>
      </c>
      <c r="BF120" s="19">
        <f>SUM(BH120:BH120)</f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f t="shared" si="112"/>
        <v>0</v>
      </c>
      <c r="BL120" s="19">
        <v>0</v>
      </c>
      <c r="BM120" s="19">
        <v>0</v>
      </c>
      <c r="BN120" s="19">
        <f>SUM(BO120:BY120)</f>
        <v>3575900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24">
        <v>152259</v>
      </c>
      <c r="BU120" s="19">
        <v>0</v>
      </c>
      <c r="BV120" s="19">
        <v>0</v>
      </c>
      <c r="BW120" s="19">
        <v>0</v>
      </c>
      <c r="BX120" s="19">
        <v>0</v>
      </c>
      <c r="BY120" s="23">
        <v>3423641</v>
      </c>
      <c r="BZ120" s="19">
        <f>SUM(CA120+CO120)</f>
        <v>522921</v>
      </c>
      <c r="CA120" s="19">
        <f>SUM(CB120+CE120+CK120)</f>
        <v>522921</v>
      </c>
      <c r="CB120" s="19">
        <f t="shared" si="113"/>
        <v>522921</v>
      </c>
      <c r="CC120" s="19">
        <v>0</v>
      </c>
      <c r="CD120" s="23">
        <v>522921</v>
      </c>
      <c r="CE120" s="19">
        <f t="shared" si="253"/>
        <v>0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f>SUM(CL120:CN120)</f>
        <v>0</v>
      </c>
      <c r="CL120" s="23"/>
      <c r="CM120" s="19">
        <v>0</v>
      </c>
      <c r="CN120" s="19"/>
      <c r="CO120" s="19">
        <v>0</v>
      </c>
      <c r="CP120" s="75"/>
      <c r="CQ120" s="75"/>
      <c r="CR120" s="75"/>
      <c r="CS120" s="19">
        <f t="shared" si="114"/>
        <v>0</v>
      </c>
      <c r="CT120" s="19">
        <f t="shared" si="115"/>
        <v>0</v>
      </c>
      <c r="CU120" s="19">
        <v>0</v>
      </c>
      <c r="CV120" s="20">
        <v>0</v>
      </c>
      <c r="CW120" s="52"/>
    </row>
    <row r="121" spans="1:101" s="58" customFormat="1" ht="15.6" x14ac:dyDescent="0.3">
      <c r="A121" s="105" t="s">
        <v>1</v>
      </c>
      <c r="B121" s="21" t="s">
        <v>60</v>
      </c>
      <c r="C121" s="22" t="s">
        <v>193</v>
      </c>
      <c r="D121" s="19">
        <f>SUM(E121+BZ121+CS121)</f>
        <v>12550869</v>
      </c>
      <c r="E121" s="19">
        <f>SUM(F121+BA121)</f>
        <v>12550869</v>
      </c>
      <c r="F121" s="19">
        <f>SUM(G121+H121+I121+P121+S121+T121+U121+AE121+AD121)</f>
        <v>12550869</v>
      </c>
      <c r="G121" s="23">
        <v>9124900</v>
      </c>
      <c r="H121" s="23">
        <v>2135029</v>
      </c>
      <c r="I121" s="19">
        <f t="shared" si="110"/>
        <v>567099</v>
      </c>
      <c r="J121" s="23">
        <v>7293</v>
      </c>
      <c r="K121" s="23">
        <v>0</v>
      </c>
      <c r="L121" s="23">
        <v>473543</v>
      </c>
      <c r="M121" s="23">
        <v>0</v>
      </c>
      <c r="N121" s="23">
        <v>0</v>
      </c>
      <c r="O121" s="23">
        <v>86263</v>
      </c>
      <c r="P121" s="19">
        <f t="shared" si="111"/>
        <v>0</v>
      </c>
      <c r="Q121" s="19">
        <v>0</v>
      </c>
      <c r="R121" s="24"/>
      <c r="S121" s="19">
        <v>0</v>
      </c>
      <c r="T121" s="23">
        <v>37513</v>
      </c>
      <c r="U121" s="19">
        <f t="shared" si="252"/>
        <v>599640</v>
      </c>
      <c r="V121" s="23">
        <v>22963</v>
      </c>
      <c r="W121" s="23">
        <v>405509</v>
      </c>
      <c r="X121" s="23">
        <v>97472</v>
      </c>
      <c r="Y121" s="23">
        <v>56952</v>
      </c>
      <c r="Z121" s="23">
        <v>16744</v>
      </c>
      <c r="AA121" s="23">
        <v>0</v>
      </c>
      <c r="AB121" s="23">
        <v>0</v>
      </c>
      <c r="AC121" s="23">
        <v>0</v>
      </c>
      <c r="AD121" s="19">
        <v>0</v>
      </c>
      <c r="AE121" s="19">
        <f>SUM(AF121:AZ121)</f>
        <v>86688</v>
      </c>
      <c r="AF121" s="19">
        <v>0</v>
      </c>
      <c r="AG121" s="19">
        <v>0</v>
      </c>
      <c r="AH121" s="23"/>
      <c r="AI121" s="23">
        <v>0</v>
      </c>
      <c r="AJ121" s="23">
        <v>0</v>
      </c>
      <c r="AK121" s="23"/>
      <c r="AL121" s="23">
        <v>0</v>
      </c>
      <c r="AM121" s="23">
        <v>0</v>
      </c>
      <c r="AN121" s="23">
        <v>0</v>
      </c>
      <c r="AO121" s="23">
        <v>0</v>
      </c>
      <c r="AP121" s="23">
        <v>0</v>
      </c>
      <c r="AQ121" s="23">
        <v>0</v>
      </c>
      <c r="AR121" s="23">
        <v>86688</v>
      </c>
      <c r="AS121" s="23">
        <v>0</v>
      </c>
      <c r="AT121" s="23">
        <v>0</v>
      </c>
      <c r="AU121" s="23">
        <v>0</v>
      </c>
      <c r="AV121" s="23">
        <v>0</v>
      </c>
      <c r="AW121" s="23">
        <v>0</v>
      </c>
      <c r="AX121" s="23">
        <v>0</v>
      </c>
      <c r="AY121" s="23">
        <v>0</v>
      </c>
      <c r="AZ121" s="23">
        <v>0</v>
      </c>
      <c r="BA121" s="19">
        <f>SUM(BB121+BF121+BI121+BK121+BN121)</f>
        <v>0</v>
      </c>
      <c r="BB121" s="19">
        <f>SUM(BC121:BE121)</f>
        <v>0</v>
      </c>
      <c r="BC121" s="19">
        <v>0</v>
      </c>
      <c r="BD121" s="19">
        <v>0</v>
      </c>
      <c r="BE121" s="19">
        <v>0</v>
      </c>
      <c r="BF121" s="19">
        <f>SUM(BH121:BH121)</f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112"/>
        <v>0</v>
      </c>
      <c r="BL121" s="19">
        <v>0</v>
      </c>
      <c r="BM121" s="19">
        <v>0</v>
      </c>
      <c r="BN121" s="19">
        <f>SUM(BO121:BY121)</f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SUM(CA121+CO121)</f>
        <v>0</v>
      </c>
      <c r="CA121" s="19">
        <f>SUM(CB121+CE121+CK121)</f>
        <v>0</v>
      </c>
      <c r="CB121" s="19">
        <f t="shared" si="113"/>
        <v>0</v>
      </c>
      <c r="CC121" s="19">
        <v>0</v>
      </c>
      <c r="CD121" s="23"/>
      <c r="CE121" s="19">
        <f t="shared" si="253"/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>SUM(CL121:CN121)</f>
        <v>0</v>
      </c>
      <c r="CL121" s="19">
        <v>0</v>
      </c>
      <c r="CM121" s="19">
        <v>0</v>
      </c>
      <c r="CN121" s="19"/>
      <c r="CO121" s="19">
        <v>0</v>
      </c>
      <c r="CP121" s="75"/>
      <c r="CQ121" s="75"/>
      <c r="CR121" s="75"/>
      <c r="CS121" s="19">
        <f t="shared" si="114"/>
        <v>0</v>
      </c>
      <c r="CT121" s="19">
        <f t="shared" si="115"/>
        <v>0</v>
      </c>
      <c r="CU121" s="19">
        <v>0</v>
      </c>
      <c r="CV121" s="20">
        <v>0</v>
      </c>
      <c r="CW121" s="52"/>
    </row>
    <row r="122" spans="1:101" ht="15.6" x14ac:dyDescent="0.3">
      <c r="A122" s="104" t="s">
        <v>194</v>
      </c>
      <c r="B122" s="16" t="s">
        <v>1</v>
      </c>
      <c r="C122" s="17" t="s">
        <v>195</v>
      </c>
      <c r="D122" s="18">
        <f>SUM(D123:D125)</f>
        <v>140725251</v>
      </c>
      <c r="E122" s="18">
        <f t="shared" ref="E122:BT122" si="254">SUM(E123:E125)</f>
        <v>140207251</v>
      </c>
      <c r="F122" s="18">
        <f t="shared" si="254"/>
        <v>124422320</v>
      </c>
      <c r="G122" s="18">
        <f t="shared" si="254"/>
        <v>87473786</v>
      </c>
      <c r="H122" s="18">
        <f t="shared" si="254"/>
        <v>20658034</v>
      </c>
      <c r="I122" s="18">
        <f t="shared" si="254"/>
        <v>8760603</v>
      </c>
      <c r="J122" s="18">
        <f t="shared" si="254"/>
        <v>128507</v>
      </c>
      <c r="K122" s="18">
        <f t="shared" si="254"/>
        <v>217000</v>
      </c>
      <c r="L122" s="18">
        <f t="shared" si="254"/>
        <v>6580058</v>
      </c>
      <c r="M122" s="18">
        <f t="shared" si="254"/>
        <v>0</v>
      </c>
      <c r="N122" s="18">
        <f t="shared" si="254"/>
        <v>1227956</v>
      </c>
      <c r="O122" s="18">
        <f t="shared" si="254"/>
        <v>607082</v>
      </c>
      <c r="P122" s="18">
        <f t="shared" si="254"/>
        <v>0</v>
      </c>
      <c r="Q122" s="18">
        <f t="shared" si="254"/>
        <v>0</v>
      </c>
      <c r="R122" s="18">
        <f t="shared" si="254"/>
        <v>0</v>
      </c>
      <c r="S122" s="18">
        <f t="shared" si="254"/>
        <v>0</v>
      </c>
      <c r="T122" s="18">
        <f t="shared" si="254"/>
        <v>257866</v>
      </c>
      <c r="U122" s="18">
        <f t="shared" si="254"/>
        <v>4901939</v>
      </c>
      <c r="V122" s="18">
        <f t="shared" si="254"/>
        <v>311858</v>
      </c>
      <c r="W122" s="18">
        <f t="shared" si="254"/>
        <v>3412367</v>
      </c>
      <c r="X122" s="18">
        <f t="shared" si="254"/>
        <v>709410</v>
      </c>
      <c r="Y122" s="18">
        <f t="shared" si="254"/>
        <v>367156</v>
      </c>
      <c r="Z122" s="18">
        <f t="shared" si="254"/>
        <v>101000</v>
      </c>
      <c r="AA122" s="18">
        <f t="shared" si="254"/>
        <v>0</v>
      </c>
      <c r="AB122" s="18">
        <f t="shared" si="254"/>
        <v>0</v>
      </c>
      <c r="AC122" s="18">
        <f t="shared" si="254"/>
        <v>148</v>
      </c>
      <c r="AD122" s="18">
        <f t="shared" si="254"/>
        <v>0</v>
      </c>
      <c r="AE122" s="18">
        <f t="shared" si="254"/>
        <v>2370092</v>
      </c>
      <c r="AF122" s="18">
        <f t="shared" si="254"/>
        <v>0</v>
      </c>
      <c r="AG122" s="18">
        <f t="shared" si="254"/>
        <v>0</v>
      </c>
      <c r="AH122" s="18">
        <f t="shared" si="254"/>
        <v>30717</v>
      </c>
      <c r="AI122" s="18">
        <f t="shared" si="254"/>
        <v>467595</v>
      </c>
      <c r="AJ122" s="18">
        <f t="shared" si="254"/>
        <v>126650</v>
      </c>
      <c r="AK122" s="18">
        <f t="shared" si="254"/>
        <v>26781</v>
      </c>
      <c r="AL122" s="18">
        <f t="shared" si="254"/>
        <v>0</v>
      </c>
      <c r="AM122" s="18">
        <f t="shared" si="254"/>
        <v>0</v>
      </c>
      <c r="AN122" s="18">
        <f t="shared" si="254"/>
        <v>30179</v>
      </c>
      <c r="AO122" s="18">
        <f t="shared" si="254"/>
        <v>0</v>
      </c>
      <c r="AP122" s="18">
        <f t="shared" si="254"/>
        <v>0</v>
      </c>
      <c r="AQ122" s="18">
        <f t="shared" si="254"/>
        <v>0</v>
      </c>
      <c r="AR122" s="18">
        <f t="shared" si="254"/>
        <v>612170</v>
      </c>
      <c r="AS122" s="18">
        <f t="shared" si="254"/>
        <v>66000</v>
      </c>
      <c r="AT122" s="18"/>
      <c r="AU122" s="18"/>
      <c r="AV122" s="18">
        <f t="shared" si="254"/>
        <v>0</v>
      </c>
      <c r="AW122" s="18">
        <f t="shared" si="254"/>
        <v>0</v>
      </c>
      <c r="AX122" s="18">
        <f t="shared" si="254"/>
        <v>0</v>
      </c>
      <c r="AY122" s="18"/>
      <c r="AZ122" s="18">
        <f t="shared" si="254"/>
        <v>1010000</v>
      </c>
      <c r="BA122" s="18">
        <f t="shared" si="254"/>
        <v>15784931</v>
      </c>
      <c r="BB122" s="18">
        <f t="shared" si="254"/>
        <v>0</v>
      </c>
      <c r="BC122" s="18">
        <f t="shared" si="254"/>
        <v>0</v>
      </c>
      <c r="BD122" s="18">
        <f t="shared" si="254"/>
        <v>0</v>
      </c>
      <c r="BE122" s="18">
        <f t="shared" si="254"/>
        <v>0</v>
      </c>
      <c r="BF122" s="18">
        <f t="shared" si="254"/>
        <v>0</v>
      </c>
      <c r="BG122" s="18">
        <f t="shared" si="254"/>
        <v>0</v>
      </c>
      <c r="BH122" s="18">
        <f t="shared" si="254"/>
        <v>0</v>
      </c>
      <c r="BI122" s="18">
        <f t="shared" si="254"/>
        <v>0</v>
      </c>
      <c r="BJ122" s="18">
        <f t="shared" ref="BJ122" si="255">SUM(BJ123:BJ125)</f>
        <v>0</v>
      </c>
      <c r="BK122" s="18">
        <f t="shared" si="254"/>
        <v>0</v>
      </c>
      <c r="BL122" s="18">
        <f t="shared" si="254"/>
        <v>0</v>
      </c>
      <c r="BM122" s="18">
        <f t="shared" ref="BM122" si="256">SUM(BM123:BM125)</f>
        <v>0</v>
      </c>
      <c r="BN122" s="18">
        <f t="shared" si="254"/>
        <v>15784931</v>
      </c>
      <c r="BO122" s="18">
        <f t="shared" si="254"/>
        <v>0</v>
      </c>
      <c r="BP122" s="18">
        <f t="shared" si="254"/>
        <v>0</v>
      </c>
      <c r="BQ122" s="18">
        <f t="shared" si="254"/>
        <v>6599879</v>
      </c>
      <c r="BR122" s="18">
        <f t="shared" si="254"/>
        <v>0</v>
      </c>
      <c r="BS122" s="18">
        <f t="shared" si="254"/>
        <v>0</v>
      </c>
      <c r="BT122" s="18">
        <f t="shared" si="254"/>
        <v>0</v>
      </c>
      <c r="BU122" s="18">
        <f t="shared" ref="BU122:CV122" si="257">SUM(BU123:BU125)</f>
        <v>0</v>
      </c>
      <c r="BV122" s="18">
        <f t="shared" si="257"/>
        <v>0</v>
      </c>
      <c r="BW122" s="18">
        <f t="shared" si="257"/>
        <v>0</v>
      </c>
      <c r="BX122" s="18">
        <f t="shared" si="257"/>
        <v>8755404</v>
      </c>
      <c r="BY122" s="18">
        <f t="shared" si="257"/>
        <v>429648</v>
      </c>
      <c r="BZ122" s="18">
        <f t="shared" si="257"/>
        <v>518000</v>
      </c>
      <c r="CA122" s="18">
        <f t="shared" si="257"/>
        <v>518000</v>
      </c>
      <c r="CB122" s="18">
        <f t="shared" si="257"/>
        <v>518000</v>
      </c>
      <c r="CC122" s="18">
        <f t="shared" si="257"/>
        <v>0</v>
      </c>
      <c r="CD122" s="18">
        <f t="shared" si="257"/>
        <v>518000</v>
      </c>
      <c r="CE122" s="18">
        <f t="shared" si="257"/>
        <v>0</v>
      </c>
      <c r="CF122" s="18">
        <f t="shared" si="257"/>
        <v>0</v>
      </c>
      <c r="CG122" s="18">
        <f t="shared" ref="CG122:CH122" si="258">SUM(CG123:CG125)</f>
        <v>0</v>
      </c>
      <c r="CH122" s="18">
        <f t="shared" si="258"/>
        <v>0</v>
      </c>
      <c r="CI122" s="18">
        <f t="shared" si="257"/>
        <v>0</v>
      </c>
      <c r="CJ122" s="18">
        <f t="shared" ref="CJ122" si="259">SUM(CJ123:CJ125)</f>
        <v>0</v>
      </c>
      <c r="CK122" s="18">
        <f t="shared" si="257"/>
        <v>0</v>
      </c>
      <c r="CL122" s="18">
        <f t="shared" ref="CL122" si="260">SUM(CL123:CL125)</f>
        <v>0</v>
      </c>
      <c r="CM122" s="18">
        <f t="shared" si="257"/>
        <v>0</v>
      </c>
      <c r="CN122" s="18"/>
      <c r="CO122" s="18">
        <f t="shared" si="257"/>
        <v>0</v>
      </c>
      <c r="CP122" s="74"/>
      <c r="CQ122" s="74"/>
      <c r="CR122" s="74"/>
      <c r="CS122" s="18">
        <f t="shared" si="257"/>
        <v>0</v>
      </c>
      <c r="CT122" s="18">
        <f t="shared" si="257"/>
        <v>0</v>
      </c>
      <c r="CU122" s="18">
        <f t="shared" si="257"/>
        <v>0</v>
      </c>
      <c r="CV122" s="46">
        <f t="shared" si="257"/>
        <v>0</v>
      </c>
      <c r="CW122" s="57"/>
    </row>
    <row r="123" spans="1:101" s="79" customFormat="1" ht="31.2" x14ac:dyDescent="0.3">
      <c r="A123" s="105" t="s">
        <v>1</v>
      </c>
      <c r="B123" s="21" t="s">
        <v>58</v>
      </c>
      <c r="C123" s="22" t="s">
        <v>196</v>
      </c>
      <c r="D123" s="19">
        <f>SUM(E123+BZ123+CS123)</f>
        <v>18650172</v>
      </c>
      <c r="E123" s="19">
        <f>SUM(F123+BA123)</f>
        <v>18650172</v>
      </c>
      <c r="F123" s="19">
        <f>SUM(G123+H123+I123+P123+S123+T123+U123+AE123+AD123)</f>
        <v>16051406</v>
      </c>
      <c r="G123" s="23">
        <v>12010802</v>
      </c>
      <c r="H123" s="23">
        <v>2922272</v>
      </c>
      <c r="I123" s="19">
        <f t="shared" si="110"/>
        <v>616915</v>
      </c>
      <c r="J123" s="23">
        <v>0</v>
      </c>
      <c r="K123" s="23">
        <v>0</v>
      </c>
      <c r="L123" s="23">
        <v>527663</v>
      </c>
      <c r="M123" s="23">
        <v>0</v>
      </c>
      <c r="N123" s="23">
        <v>45163</v>
      </c>
      <c r="O123" s="23">
        <v>44089</v>
      </c>
      <c r="P123" s="19">
        <f t="shared" si="111"/>
        <v>0</v>
      </c>
      <c r="Q123" s="23">
        <v>0</v>
      </c>
      <c r="R123" s="23">
        <v>0</v>
      </c>
      <c r="S123" s="23">
        <v>0</v>
      </c>
      <c r="T123" s="23">
        <v>56324</v>
      </c>
      <c r="U123" s="19">
        <f t="shared" ref="U123:U125" si="261">SUM(V123:AC123)</f>
        <v>420276</v>
      </c>
      <c r="V123" s="23">
        <v>13748</v>
      </c>
      <c r="W123" s="23">
        <v>298971</v>
      </c>
      <c r="X123" s="23">
        <v>62165</v>
      </c>
      <c r="Y123" s="23">
        <v>45392</v>
      </c>
      <c r="Z123" s="23">
        <v>0</v>
      </c>
      <c r="AA123" s="23">
        <v>0</v>
      </c>
      <c r="AB123" s="23">
        <v>0</v>
      </c>
      <c r="AC123" s="23">
        <v>0</v>
      </c>
      <c r="AD123" s="19"/>
      <c r="AE123" s="19">
        <f>SUM(AF123:AZ123)</f>
        <v>24817</v>
      </c>
      <c r="AF123" s="19">
        <v>0</v>
      </c>
      <c r="AG123" s="19">
        <v>0</v>
      </c>
      <c r="AH123" s="23">
        <v>717</v>
      </c>
      <c r="AI123" s="23">
        <v>17595</v>
      </c>
      <c r="AJ123" s="23">
        <v>0</v>
      </c>
      <c r="AK123" s="23">
        <v>781</v>
      </c>
      <c r="AL123" s="23">
        <v>0</v>
      </c>
      <c r="AM123" s="23">
        <v>0</v>
      </c>
      <c r="AN123" s="23">
        <v>5724</v>
      </c>
      <c r="AO123" s="23">
        <v>0</v>
      </c>
      <c r="AP123" s="23">
        <v>0</v>
      </c>
      <c r="AQ123" s="23">
        <v>0</v>
      </c>
      <c r="AR123" s="23">
        <v>0</v>
      </c>
      <c r="AS123" s="23">
        <v>0</v>
      </c>
      <c r="AT123" s="23">
        <v>0</v>
      </c>
      <c r="AU123" s="23">
        <v>0</v>
      </c>
      <c r="AV123" s="23">
        <v>0</v>
      </c>
      <c r="AW123" s="23">
        <v>0</v>
      </c>
      <c r="AX123" s="23">
        <v>0</v>
      </c>
      <c r="AY123" s="23">
        <v>0</v>
      </c>
      <c r="AZ123" s="23">
        <v>0</v>
      </c>
      <c r="BA123" s="19">
        <f>SUM(BB123+BF123+BI123+BK123+BN123)</f>
        <v>2598766</v>
      </c>
      <c r="BB123" s="19">
        <f>SUM(BC123:BE123)</f>
        <v>0</v>
      </c>
      <c r="BC123" s="19">
        <v>0</v>
      </c>
      <c r="BD123" s="19">
        <v>0</v>
      </c>
      <c r="BE123" s="19">
        <v>0</v>
      </c>
      <c r="BF123" s="19">
        <f>SUM(BH123:BH123)</f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f t="shared" si="112"/>
        <v>0</v>
      </c>
      <c r="BL123" s="19">
        <v>0</v>
      </c>
      <c r="BM123" s="19">
        <v>0</v>
      </c>
      <c r="BN123" s="19">
        <f>SUM(BO123:BY123)</f>
        <v>2598766</v>
      </c>
      <c r="BO123" s="19">
        <v>0</v>
      </c>
      <c r="BP123" s="19">
        <v>0</v>
      </c>
      <c r="BQ123" s="23">
        <v>1070064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23">
        <v>1301798</v>
      </c>
      <c r="BY123" s="23">
        <v>226904</v>
      </c>
      <c r="BZ123" s="19">
        <f>SUM(CA123+CO123)</f>
        <v>0</v>
      </c>
      <c r="CA123" s="19">
        <f>SUM(CB123+CE123+CK123)</f>
        <v>0</v>
      </c>
      <c r="CB123" s="19">
        <f t="shared" si="113"/>
        <v>0</v>
      </c>
      <c r="CC123" s="19">
        <v>0</v>
      </c>
      <c r="CD123" s="23"/>
      <c r="CE123" s="19">
        <f t="shared" ref="CE123:CE125" si="262">SUM(CF123:CJ123)</f>
        <v>0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f>SUM(CL123:CN123)</f>
        <v>0</v>
      </c>
      <c r="CL123" s="23"/>
      <c r="CM123" s="19">
        <v>0</v>
      </c>
      <c r="CN123" s="19"/>
      <c r="CO123" s="19">
        <v>0</v>
      </c>
      <c r="CP123" s="75"/>
      <c r="CQ123" s="75"/>
      <c r="CR123" s="75"/>
      <c r="CS123" s="19">
        <f t="shared" si="114"/>
        <v>0</v>
      </c>
      <c r="CT123" s="19">
        <f t="shared" si="115"/>
        <v>0</v>
      </c>
      <c r="CU123" s="19">
        <v>0</v>
      </c>
      <c r="CV123" s="20">
        <v>0</v>
      </c>
      <c r="CW123" s="52"/>
    </row>
    <row r="124" spans="1:101" ht="18.600000000000001" customHeight="1" x14ac:dyDescent="0.3">
      <c r="A124" s="107" t="s">
        <v>1</v>
      </c>
      <c r="B124" s="72" t="s">
        <v>60</v>
      </c>
      <c r="C124" s="73" t="s">
        <v>197</v>
      </c>
      <c r="D124" s="75">
        <f>SUM(E124+BZ124+CS124)</f>
        <v>106104962</v>
      </c>
      <c r="E124" s="75">
        <f>SUM(F124+BA124)</f>
        <v>106104962</v>
      </c>
      <c r="F124" s="75">
        <f>SUM(G124+H124+I124+P124+S124+T124+U124+AE124+AD124)</f>
        <v>93101894</v>
      </c>
      <c r="G124" s="76">
        <v>68340759</v>
      </c>
      <c r="H124" s="76">
        <v>16052493</v>
      </c>
      <c r="I124" s="75">
        <f t="shared" si="110"/>
        <v>3637499</v>
      </c>
      <c r="J124" s="76">
        <v>48508</v>
      </c>
      <c r="K124" s="76">
        <v>0</v>
      </c>
      <c r="L124" s="76">
        <v>2243875</v>
      </c>
      <c r="M124" s="76">
        <v>0</v>
      </c>
      <c r="N124" s="76">
        <v>932793</v>
      </c>
      <c r="O124" s="76">
        <v>412323</v>
      </c>
      <c r="P124" s="75">
        <f t="shared" si="111"/>
        <v>0</v>
      </c>
      <c r="Q124" s="76"/>
      <c r="R124" s="76">
        <v>0</v>
      </c>
      <c r="S124" s="76">
        <v>0</v>
      </c>
      <c r="T124" s="76">
        <v>181872</v>
      </c>
      <c r="U124" s="75">
        <f t="shared" si="261"/>
        <v>4121203</v>
      </c>
      <c r="V124" s="76">
        <v>278110</v>
      </c>
      <c r="W124" s="76">
        <v>2916695</v>
      </c>
      <c r="X124" s="76">
        <v>564279</v>
      </c>
      <c r="Y124" s="76">
        <v>276971</v>
      </c>
      <c r="Z124" s="76">
        <v>85000</v>
      </c>
      <c r="AA124" s="76">
        <v>0</v>
      </c>
      <c r="AB124" s="76">
        <v>0</v>
      </c>
      <c r="AC124" s="76">
        <v>148</v>
      </c>
      <c r="AD124" s="75">
        <v>0</v>
      </c>
      <c r="AE124" s="75">
        <f>SUM(AF124:AZ124)</f>
        <v>768068</v>
      </c>
      <c r="AF124" s="75">
        <v>0</v>
      </c>
      <c r="AG124" s="75">
        <v>0</v>
      </c>
      <c r="AH124" s="76">
        <v>5000</v>
      </c>
      <c r="AI124" s="76">
        <v>0</v>
      </c>
      <c r="AJ124" s="76">
        <v>126650</v>
      </c>
      <c r="AK124" s="76">
        <v>22000</v>
      </c>
      <c r="AL124" s="76">
        <v>0</v>
      </c>
      <c r="AM124" s="76">
        <v>0</v>
      </c>
      <c r="AN124" s="76">
        <v>18455</v>
      </c>
      <c r="AO124" s="76">
        <v>0</v>
      </c>
      <c r="AP124" s="76">
        <v>0</v>
      </c>
      <c r="AQ124" s="76">
        <v>0</v>
      </c>
      <c r="AR124" s="76">
        <v>595963</v>
      </c>
      <c r="AS124" s="76">
        <v>0</v>
      </c>
      <c r="AT124" s="76">
        <v>0</v>
      </c>
      <c r="AU124" s="76">
        <v>0</v>
      </c>
      <c r="AV124" s="76">
        <v>0</v>
      </c>
      <c r="AW124" s="76">
        <v>0</v>
      </c>
      <c r="AX124" s="76">
        <v>0</v>
      </c>
      <c r="AY124" s="76">
        <v>0</v>
      </c>
      <c r="AZ124" s="76">
        <v>0</v>
      </c>
      <c r="BA124" s="75">
        <f>SUM(BB124+BF124+BI124+BK124+BN124)</f>
        <v>13003068</v>
      </c>
      <c r="BB124" s="75">
        <f>SUM(BC124:BE124)</f>
        <v>0</v>
      </c>
      <c r="BC124" s="75">
        <v>0</v>
      </c>
      <c r="BD124" s="75">
        <v>0</v>
      </c>
      <c r="BE124" s="75">
        <v>0</v>
      </c>
      <c r="BF124" s="75">
        <f>SUM(BH124:BH124)</f>
        <v>0</v>
      </c>
      <c r="BG124" s="75">
        <v>0</v>
      </c>
      <c r="BH124" s="75">
        <v>0</v>
      </c>
      <c r="BI124" s="75">
        <v>0</v>
      </c>
      <c r="BJ124" s="75">
        <v>0</v>
      </c>
      <c r="BK124" s="75">
        <f t="shared" si="112"/>
        <v>0</v>
      </c>
      <c r="BL124" s="75">
        <v>0</v>
      </c>
      <c r="BM124" s="75">
        <v>0</v>
      </c>
      <c r="BN124" s="75">
        <f>SUM(BO124:BY124)</f>
        <v>13003068</v>
      </c>
      <c r="BO124" s="75">
        <v>0</v>
      </c>
      <c r="BP124" s="75">
        <v>0</v>
      </c>
      <c r="BQ124" s="76">
        <v>5403055</v>
      </c>
      <c r="BR124" s="75">
        <v>0</v>
      </c>
      <c r="BS124" s="75">
        <v>0</v>
      </c>
      <c r="BT124" s="75">
        <v>0</v>
      </c>
      <c r="BU124" s="75">
        <v>0</v>
      </c>
      <c r="BV124" s="75">
        <v>0</v>
      </c>
      <c r="BW124" s="75">
        <v>0</v>
      </c>
      <c r="BX124" s="76">
        <v>7397269</v>
      </c>
      <c r="BY124" s="76">
        <v>202744</v>
      </c>
      <c r="BZ124" s="75">
        <f>SUM(CA124+CO124)</f>
        <v>0</v>
      </c>
      <c r="CA124" s="75">
        <f>SUM(CB124+CE124+CK124)</f>
        <v>0</v>
      </c>
      <c r="CB124" s="75">
        <f t="shared" si="113"/>
        <v>0</v>
      </c>
      <c r="CC124" s="75">
        <v>0</v>
      </c>
      <c r="CD124" s="76"/>
      <c r="CE124" s="75">
        <f t="shared" si="262"/>
        <v>0</v>
      </c>
      <c r="CF124" s="75">
        <v>0</v>
      </c>
      <c r="CG124" s="75">
        <v>0</v>
      </c>
      <c r="CH124" s="75">
        <v>0</v>
      </c>
      <c r="CI124" s="75">
        <v>0</v>
      </c>
      <c r="CJ124" s="75">
        <v>0</v>
      </c>
      <c r="CK124" s="75">
        <f>SUM(CL124:CN124)</f>
        <v>0</v>
      </c>
      <c r="CL124" s="76"/>
      <c r="CM124" s="75">
        <v>0</v>
      </c>
      <c r="CN124" s="75"/>
      <c r="CO124" s="75">
        <v>0</v>
      </c>
      <c r="CP124" s="75"/>
      <c r="CQ124" s="75"/>
      <c r="CR124" s="75"/>
      <c r="CS124" s="75">
        <f t="shared" si="114"/>
        <v>0</v>
      </c>
      <c r="CT124" s="75">
        <f t="shared" si="115"/>
        <v>0</v>
      </c>
      <c r="CU124" s="75">
        <v>0</v>
      </c>
      <c r="CV124" s="78">
        <v>0</v>
      </c>
      <c r="CW124" s="79"/>
    </row>
    <row r="125" spans="1:101" s="58" customFormat="1" ht="15.6" x14ac:dyDescent="0.3">
      <c r="A125" s="105" t="s">
        <v>1</v>
      </c>
      <c r="B125" s="21" t="s">
        <v>68</v>
      </c>
      <c r="C125" s="22" t="s">
        <v>331</v>
      </c>
      <c r="D125" s="19">
        <f>SUM(E125+BZ125+CS125)</f>
        <v>15970117</v>
      </c>
      <c r="E125" s="19">
        <f>SUM(F125+BA125)</f>
        <v>15452117</v>
      </c>
      <c r="F125" s="19">
        <f>SUM(G125+H125+I125+P125+S125+T125+U125+AE125+AD125)</f>
        <v>15269020</v>
      </c>
      <c r="G125" s="23">
        <v>7122225</v>
      </c>
      <c r="H125" s="23">
        <v>1683269</v>
      </c>
      <c r="I125" s="19">
        <f t="shared" si="110"/>
        <v>4506189</v>
      </c>
      <c r="J125" s="23">
        <v>79999</v>
      </c>
      <c r="K125" s="23">
        <v>217000</v>
      </c>
      <c r="L125" s="23">
        <v>3808520</v>
      </c>
      <c r="M125" s="23">
        <v>0</v>
      </c>
      <c r="N125" s="23">
        <v>250000</v>
      </c>
      <c r="O125" s="23">
        <v>150670</v>
      </c>
      <c r="P125" s="19">
        <f t="shared" si="111"/>
        <v>0</v>
      </c>
      <c r="Q125" s="23">
        <v>0</v>
      </c>
      <c r="R125" s="23">
        <v>0</v>
      </c>
      <c r="S125" s="23">
        <v>0</v>
      </c>
      <c r="T125" s="23">
        <v>19670</v>
      </c>
      <c r="U125" s="19">
        <f t="shared" si="261"/>
        <v>360460</v>
      </c>
      <c r="V125" s="23">
        <v>20000</v>
      </c>
      <c r="W125" s="23">
        <v>196701</v>
      </c>
      <c r="X125" s="23">
        <v>82966</v>
      </c>
      <c r="Y125" s="23">
        <v>44793</v>
      </c>
      <c r="Z125" s="23">
        <v>16000</v>
      </c>
      <c r="AA125" s="23">
        <v>0</v>
      </c>
      <c r="AB125" s="23">
        <v>0</v>
      </c>
      <c r="AC125" s="23">
        <v>0</v>
      </c>
      <c r="AD125" s="19">
        <v>0</v>
      </c>
      <c r="AE125" s="19">
        <f>SUM(AF125:AZ125)</f>
        <v>1577207</v>
      </c>
      <c r="AF125" s="19">
        <v>0</v>
      </c>
      <c r="AG125" s="19">
        <v>0</v>
      </c>
      <c r="AH125" s="23">
        <v>25000</v>
      </c>
      <c r="AI125" s="23">
        <v>450000</v>
      </c>
      <c r="AJ125" s="23">
        <v>0</v>
      </c>
      <c r="AK125" s="23">
        <v>4000</v>
      </c>
      <c r="AL125" s="23">
        <v>0</v>
      </c>
      <c r="AM125" s="23">
        <v>0</v>
      </c>
      <c r="AN125" s="23">
        <v>6000</v>
      </c>
      <c r="AO125" s="23">
        <v>0</v>
      </c>
      <c r="AP125" s="23">
        <v>0</v>
      </c>
      <c r="AQ125" s="23">
        <v>0</v>
      </c>
      <c r="AR125" s="23">
        <v>16207</v>
      </c>
      <c r="AS125" s="23">
        <v>66000</v>
      </c>
      <c r="AT125" s="23">
        <v>0</v>
      </c>
      <c r="AU125" s="23">
        <v>0</v>
      </c>
      <c r="AV125" s="23">
        <v>0</v>
      </c>
      <c r="AW125" s="23">
        <v>0</v>
      </c>
      <c r="AX125" s="23">
        <v>0</v>
      </c>
      <c r="AY125" s="23">
        <v>0</v>
      </c>
      <c r="AZ125" s="23">
        <v>1010000</v>
      </c>
      <c r="BA125" s="19">
        <f>SUM(BB125+BF125+BI125+BK125+BN125)</f>
        <v>183097</v>
      </c>
      <c r="BB125" s="19">
        <f>SUM(BC125:BE125)</f>
        <v>0</v>
      </c>
      <c r="BC125" s="19">
        <v>0</v>
      </c>
      <c r="BD125" s="19">
        <v>0</v>
      </c>
      <c r="BE125" s="19">
        <v>0</v>
      </c>
      <c r="BF125" s="19">
        <f>SUM(BH125:BH125)</f>
        <v>0</v>
      </c>
      <c r="BG125" s="19">
        <v>0</v>
      </c>
      <c r="BH125" s="19">
        <v>0</v>
      </c>
      <c r="BI125" s="19">
        <v>0</v>
      </c>
      <c r="BJ125" s="19">
        <v>0</v>
      </c>
      <c r="BK125" s="19">
        <f t="shared" si="112"/>
        <v>0</v>
      </c>
      <c r="BL125" s="19">
        <v>0</v>
      </c>
      <c r="BM125" s="19">
        <v>0</v>
      </c>
      <c r="BN125" s="19">
        <f>SUM(BO125:BY125)</f>
        <v>183097</v>
      </c>
      <c r="BO125" s="19">
        <v>0</v>
      </c>
      <c r="BP125" s="19">
        <v>0</v>
      </c>
      <c r="BQ125" s="23">
        <v>126760</v>
      </c>
      <c r="BR125" s="19">
        <v>0</v>
      </c>
      <c r="BS125" s="19">
        <v>0</v>
      </c>
      <c r="BT125" s="19">
        <v>0</v>
      </c>
      <c r="BU125" s="19">
        <v>0</v>
      </c>
      <c r="BV125" s="19">
        <v>0</v>
      </c>
      <c r="BW125" s="19">
        <v>0</v>
      </c>
      <c r="BX125" s="23">
        <v>56337</v>
      </c>
      <c r="BY125" s="23">
        <v>0</v>
      </c>
      <c r="BZ125" s="19">
        <f>SUM(CA125+CO125)</f>
        <v>518000</v>
      </c>
      <c r="CA125" s="19">
        <f>SUM(CB125+CE125+CK125)</f>
        <v>518000</v>
      </c>
      <c r="CB125" s="19">
        <f t="shared" si="113"/>
        <v>518000</v>
      </c>
      <c r="CC125" s="19">
        <v>0</v>
      </c>
      <c r="CD125" s="23">
        <v>518000</v>
      </c>
      <c r="CE125" s="19">
        <f t="shared" si="262"/>
        <v>0</v>
      </c>
      <c r="CF125" s="19">
        <v>0</v>
      </c>
      <c r="CG125" s="19">
        <v>0</v>
      </c>
      <c r="CH125" s="19">
        <v>0</v>
      </c>
      <c r="CI125" s="19">
        <v>0</v>
      </c>
      <c r="CJ125" s="19">
        <v>0</v>
      </c>
      <c r="CK125" s="19">
        <f>SUM(CL125:CN125)</f>
        <v>0</v>
      </c>
      <c r="CL125" s="23"/>
      <c r="CM125" s="19">
        <v>0</v>
      </c>
      <c r="CN125" s="19"/>
      <c r="CO125" s="19">
        <v>0</v>
      </c>
      <c r="CP125" s="75"/>
      <c r="CQ125" s="75"/>
      <c r="CR125" s="75"/>
      <c r="CS125" s="19">
        <f t="shared" si="114"/>
        <v>0</v>
      </c>
      <c r="CT125" s="19">
        <f t="shared" si="115"/>
        <v>0</v>
      </c>
      <c r="CU125" s="19">
        <v>0</v>
      </c>
      <c r="CV125" s="20">
        <v>0</v>
      </c>
      <c r="CW125" s="52"/>
    </row>
    <row r="126" spans="1:101" ht="15.6" x14ac:dyDescent="0.3">
      <c r="A126" s="104" t="s">
        <v>198</v>
      </c>
      <c r="B126" s="16" t="s">
        <v>1</v>
      </c>
      <c r="C126" s="17" t="s">
        <v>199</v>
      </c>
      <c r="D126" s="18">
        <f t="shared" ref="D126:BQ126" si="263">SUM(D127:D129)</f>
        <v>178635791</v>
      </c>
      <c r="E126" s="18">
        <f t="shared" si="263"/>
        <v>178459068</v>
      </c>
      <c r="F126" s="18">
        <f t="shared" si="263"/>
        <v>162462779</v>
      </c>
      <c r="G126" s="18">
        <f t="shared" si="263"/>
        <v>126874377</v>
      </c>
      <c r="H126" s="18">
        <f t="shared" si="263"/>
        <v>29960962</v>
      </c>
      <c r="I126" s="18">
        <f t="shared" si="263"/>
        <v>2350065</v>
      </c>
      <c r="J126" s="18">
        <f t="shared" si="263"/>
        <v>9105</v>
      </c>
      <c r="K126" s="18">
        <f t="shared" si="263"/>
        <v>40400</v>
      </c>
      <c r="L126" s="18">
        <f t="shared" si="263"/>
        <v>2067809</v>
      </c>
      <c r="M126" s="18">
        <f t="shared" si="263"/>
        <v>0</v>
      </c>
      <c r="N126" s="18">
        <f t="shared" si="263"/>
        <v>173150</v>
      </c>
      <c r="O126" s="18">
        <f t="shared" si="263"/>
        <v>59601</v>
      </c>
      <c r="P126" s="18">
        <f t="shared" si="263"/>
        <v>0</v>
      </c>
      <c r="Q126" s="18">
        <f t="shared" si="263"/>
        <v>0</v>
      </c>
      <c r="R126" s="18">
        <f t="shared" si="263"/>
        <v>0</v>
      </c>
      <c r="S126" s="18">
        <f t="shared" si="263"/>
        <v>0</v>
      </c>
      <c r="T126" s="18">
        <f t="shared" si="263"/>
        <v>325526</v>
      </c>
      <c r="U126" s="18">
        <f t="shared" si="263"/>
        <v>2437793</v>
      </c>
      <c r="V126" s="18">
        <f t="shared" si="263"/>
        <v>1215</v>
      </c>
      <c r="W126" s="18">
        <f t="shared" si="263"/>
        <v>1682619</v>
      </c>
      <c r="X126" s="18">
        <f t="shared" si="263"/>
        <v>391850</v>
      </c>
      <c r="Y126" s="18">
        <f t="shared" si="263"/>
        <v>213093</v>
      </c>
      <c r="Z126" s="18">
        <f t="shared" si="263"/>
        <v>148850</v>
      </c>
      <c r="AA126" s="18">
        <f t="shared" si="263"/>
        <v>0</v>
      </c>
      <c r="AB126" s="18">
        <f t="shared" si="263"/>
        <v>0</v>
      </c>
      <c r="AC126" s="18">
        <f t="shared" si="263"/>
        <v>166</v>
      </c>
      <c r="AD126" s="18">
        <f t="shared" si="263"/>
        <v>0</v>
      </c>
      <c r="AE126" s="18">
        <f t="shared" si="263"/>
        <v>514056</v>
      </c>
      <c r="AF126" s="18">
        <f t="shared" si="263"/>
        <v>0</v>
      </c>
      <c r="AG126" s="18">
        <f t="shared" si="263"/>
        <v>0</v>
      </c>
      <c r="AH126" s="18">
        <f t="shared" si="263"/>
        <v>0</v>
      </c>
      <c r="AI126" s="18">
        <f t="shared" si="263"/>
        <v>13782</v>
      </c>
      <c r="AJ126" s="18">
        <f t="shared" si="263"/>
        <v>146000</v>
      </c>
      <c r="AK126" s="18">
        <f t="shared" si="263"/>
        <v>7416</v>
      </c>
      <c r="AL126" s="18">
        <f t="shared" si="263"/>
        <v>0</v>
      </c>
      <c r="AM126" s="18">
        <f t="shared" si="263"/>
        <v>1200</v>
      </c>
      <c r="AN126" s="18">
        <f t="shared" si="263"/>
        <v>210645</v>
      </c>
      <c r="AO126" s="18">
        <f t="shared" si="263"/>
        <v>0</v>
      </c>
      <c r="AP126" s="18">
        <f t="shared" si="263"/>
        <v>0</v>
      </c>
      <c r="AQ126" s="18">
        <f t="shared" si="263"/>
        <v>0</v>
      </c>
      <c r="AR126" s="18">
        <f t="shared" si="263"/>
        <v>0</v>
      </c>
      <c r="AS126" s="18">
        <f t="shared" si="263"/>
        <v>38640</v>
      </c>
      <c r="AT126" s="18"/>
      <c r="AU126" s="18"/>
      <c r="AV126" s="18">
        <f t="shared" si="263"/>
        <v>0</v>
      </c>
      <c r="AW126" s="18">
        <f t="shared" si="263"/>
        <v>0</v>
      </c>
      <c r="AX126" s="18">
        <f t="shared" si="263"/>
        <v>0</v>
      </c>
      <c r="AY126" s="18"/>
      <c r="AZ126" s="18">
        <f t="shared" si="263"/>
        <v>96373</v>
      </c>
      <c r="BA126" s="18">
        <f t="shared" si="263"/>
        <v>15996289</v>
      </c>
      <c r="BB126" s="18">
        <f t="shared" si="263"/>
        <v>0</v>
      </c>
      <c r="BC126" s="18">
        <f t="shared" si="263"/>
        <v>0</v>
      </c>
      <c r="BD126" s="18">
        <f t="shared" si="263"/>
        <v>0</v>
      </c>
      <c r="BE126" s="18">
        <f t="shared" si="263"/>
        <v>0</v>
      </c>
      <c r="BF126" s="18">
        <f t="shared" si="263"/>
        <v>0</v>
      </c>
      <c r="BG126" s="18">
        <f t="shared" si="263"/>
        <v>0</v>
      </c>
      <c r="BH126" s="18">
        <f t="shared" si="263"/>
        <v>0</v>
      </c>
      <c r="BI126" s="18">
        <f t="shared" si="263"/>
        <v>0</v>
      </c>
      <c r="BJ126" s="18">
        <f t="shared" ref="BJ126" si="264">SUM(BJ127:BJ129)</f>
        <v>0</v>
      </c>
      <c r="BK126" s="18">
        <f t="shared" si="263"/>
        <v>0</v>
      </c>
      <c r="BL126" s="18">
        <f t="shared" si="263"/>
        <v>0</v>
      </c>
      <c r="BM126" s="18">
        <f t="shared" ref="BM126" si="265">SUM(BM127:BM129)</f>
        <v>0</v>
      </c>
      <c r="BN126" s="18">
        <f t="shared" si="263"/>
        <v>15996289</v>
      </c>
      <c r="BO126" s="18">
        <f t="shared" si="263"/>
        <v>0</v>
      </c>
      <c r="BP126" s="18">
        <f t="shared" si="263"/>
        <v>0</v>
      </c>
      <c r="BQ126" s="18">
        <f t="shared" si="263"/>
        <v>9995850</v>
      </c>
      <c r="BR126" s="18">
        <f t="shared" ref="BR126:CV126" si="266">SUM(BR127:BR129)</f>
        <v>0</v>
      </c>
      <c r="BS126" s="18">
        <f t="shared" si="266"/>
        <v>0</v>
      </c>
      <c r="BT126" s="18">
        <f t="shared" si="266"/>
        <v>0</v>
      </c>
      <c r="BU126" s="18">
        <f t="shared" si="266"/>
        <v>0</v>
      </c>
      <c r="BV126" s="18">
        <f t="shared" si="266"/>
        <v>0</v>
      </c>
      <c r="BW126" s="18">
        <f t="shared" si="266"/>
        <v>0</v>
      </c>
      <c r="BX126" s="18">
        <f t="shared" si="266"/>
        <v>4894144</v>
      </c>
      <c r="BY126" s="18">
        <f t="shared" si="266"/>
        <v>1106295</v>
      </c>
      <c r="BZ126" s="18">
        <f t="shared" si="266"/>
        <v>176723</v>
      </c>
      <c r="CA126" s="18">
        <f t="shared" si="266"/>
        <v>176723</v>
      </c>
      <c r="CB126" s="18">
        <f t="shared" si="266"/>
        <v>176723</v>
      </c>
      <c r="CC126" s="18">
        <f t="shared" si="266"/>
        <v>0</v>
      </c>
      <c r="CD126" s="18">
        <f t="shared" si="266"/>
        <v>176723</v>
      </c>
      <c r="CE126" s="18">
        <f t="shared" si="266"/>
        <v>0</v>
      </c>
      <c r="CF126" s="18">
        <f t="shared" si="266"/>
        <v>0</v>
      </c>
      <c r="CG126" s="18">
        <f t="shared" ref="CG126:CH126" si="267">SUM(CG127:CG129)</f>
        <v>0</v>
      </c>
      <c r="CH126" s="18">
        <f t="shared" si="267"/>
        <v>0</v>
      </c>
      <c r="CI126" s="18">
        <f t="shared" si="266"/>
        <v>0</v>
      </c>
      <c r="CJ126" s="18">
        <f t="shared" ref="CJ126" si="268">SUM(CJ127:CJ129)</f>
        <v>0</v>
      </c>
      <c r="CK126" s="18">
        <f t="shared" si="266"/>
        <v>0</v>
      </c>
      <c r="CL126" s="18">
        <f t="shared" ref="CL126" si="269">SUM(CL127:CL129)</f>
        <v>0</v>
      </c>
      <c r="CM126" s="18">
        <f t="shared" si="266"/>
        <v>0</v>
      </c>
      <c r="CN126" s="18"/>
      <c r="CO126" s="18">
        <f t="shared" si="266"/>
        <v>0</v>
      </c>
      <c r="CP126" s="74"/>
      <c r="CQ126" s="74"/>
      <c r="CR126" s="74"/>
      <c r="CS126" s="18">
        <f t="shared" si="266"/>
        <v>0</v>
      </c>
      <c r="CT126" s="18">
        <f t="shared" si="266"/>
        <v>0</v>
      </c>
      <c r="CU126" s="18">
        <f t="shared" si="266"/>
        <v>0</v>
      </c>
      <c r="CV126" s="46">
        <f t="shared" si="266"/>
        <v>0</v>
      </c>
      <c r="CW126" s="57"/>
    </row>
    <row r="127" spans="1:101" s="79" customFormat="1" ht="15.6" x14ac:dyDescent="0.3">
      <c r="A127" s="105" t="s">
        <v>1</v>
      </c>
      <c r="B127" s="21" t="s">
        <v>60</v>
      </c>
      <c r="C127" s="22" t="s">
        <v>200</v>
      </c>
      <c r="D127" s="19">
        <f>SUM(E127+BZ127+CS127)</f>
        <v>592873</v>
      </c>
      <c r="E127" s="19">
        <f>SUM(F127+BA127)</f>
        <v>592873</v>
      </c>
      <c r="F127" s="19">
        <f>SUM(G127+H127+I127+P127+S127+T127+U127+AE127+AD127)</f>
        <v>211663</v>
      </c>
      <c r="G127" s="23">
        <v>169330</v>
      </c>
      <c r="H127" s="23">
        <v>42333</v>
      </c>
      <c r="I127" s="19">
        <f t="shared" si="110"/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19">
        <f t="shared" si="111"/>
        <v>0</v>
      </c>
      <c r="Q127" s="23">
        <v>0</v>
      </c>
      <c r="R127" s="23">
        <v>0</v>
      </c>
      <c r="S127" s="23">
        <v>0</v>
      </c>
      <c r="T127" s="23">
        <v>0</v>
      </c>
      <c r="U127" s="19">
        <f t="shared" ref="U127:U129" si="270">SUM(V127:AC127)</f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19">
        <v>0</v>
      </c>
      <c r="AE127" s="19">
        <f>SUM(AF127:AZ127)</f>
        <v>0</v>
      </c>
      <c r="AF127" s="24">
        <v>0</v>
      </c>
      <c r="AG127" s="24">
        <v>0</v>
      </c>
      <c r="AH127" s="23">
        <v>0</v>
      </c>
      <c r="AI127" s="23">
        <v>0</v>
      </c>
      <c r="AJ127" s="23">
        <v>0</v>
      </c>
      <c r="AK127" s="23">
        <v>0</v>
      </c>
      <c r="AL127" s="23">
        <v>0</v>
      </c>
      <c r="AM127" s="23">
        <v>0</v>
      </c>
      <c r="AN127" s="23">
        <v>0</v>
      </c>
      <c r="AO127" s="23">
        <v>0</v>
      </c>
      <c r="AP127" s="23">
        <v>0</v>
      </c>
      <c r="AQ127" s="23">
        <v>0</v>
      </c>
      <c r="AR127" s="23">
        <v>0</v>
      </c>
      <c r="AS127" s="23">
        <v>0</v>
      </c>
      <c r="AT127" s="23">
        <v>0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0</v>
      </c>
      <c r="BA127" s="19">
        <f>SUM(BB127+BF127+BI127+BK127+BN127)</f>
        <v>381210</v>
      </c>
      <c r="BB127" s="19">
        <f>SUM(BC127:BE127)</f>
        <v>0</v>
      </c>
      <c r="BC127" s="19">
        <v>0</v>
      </c>
      <c r="BD127" s="19">
        <v>0</v>
      </c>
      <c r="BE127" s="19">
        <v>0</v>
      </c>
      <c r="BF127" s="19">
        <f>SUM(BH127:BH127)</f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f t="shared" si="112"/>
        <v>0</v>
      </c>
      <c r="BL127" s="19">
        <v>0</v>
      </c>
      <c r="BM127" s="19">
        <v>0</v>
      </c>
      <c r="BN127" s="19">
        <f>SUM(BO127:BY127)</f>
        <v>381210</v>
      </c>
      <c r="BO127" s="19">
        <v>0</v>
      </c>
      <c r="BP127" s="19">
        <v>0</v>
      </c>
      <c r="BQ127" s="23">
        <v>381210</v>
      </c>
      <c r="BR127" s="19">
        <v>0</v>
      </c>
      <c r="BS127" s="19">
        <v>0</v>
      </c>
      <c r="BT127" s="19">
        <v>0</v>
      </c>
      <c r="BU127" s="19">
        <v>0</v>
      </c>
      <c r="BV127" s="19">
        <v>0</v>
      </c>
      <c r="BW127" s="19">
        <v>0</v>
      </c>
      <c r="BX127" s="23">
        <v>0</v>
      </c>
      <c r="BY127" s="23">
        <v>0</v>
      </c>
      <c r="BZ127" s="19">
        <f>SUM(CA127+CO127)</f>
        <v>0</v>
      </c>
      <c r="CA127" s="19">
        <f>SUM(CB127+CE127+CK127)</f>
        <v>0</v>
      </c>
      <c r="CB127" s="19">
        <f t="shared" si="113"/>
        <v>0</v>
      </c>
      <c r="CC127" s="19">
        <v>0</v>
      </c>
      <c r="CD127" s="23">
        <v>0</v>
      </c>
      <c r="CE127" s="19">
        <f t="shared" ref="CE127:CE129" si="271">SUM(CF127:CJ127)</f>
        <v>0</v>
      </c>
      <c r="CF127" s="19"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f>SUM(CL127:CN127)</f>
        <v>0</v>
      </c>
      <c r="CL127" s="19">
        <v>0</v>
      </c>
      <c r="CM127" s="19">
        <v>0</v>
      </c>
      <c r="CN127" s="19"/>
      <c r="CO127" s="19">
        <v>0</v>
      </c>
      <c r="CP127" s="75"/>
      <c r="CQ127" s="75"/>
      <c r="CR127" s="75"/>
      <c r="CS127" s="19">
        <f t="shared" si="114"/>
        <v>0</v>
      </c>
      <c r="CT127" s="19">
        <f t="shared" si="115"/>
        <v>0</v>
      </c>
      <c r="CU127" s="19">
        <v>0</v>
      </c>
      <c r="CV127" s="20">
        <v>0</v>
      </c>
      <c r="CW127" s="52"/>
    </row>
    <row r="128" spans="1:101" ht="15.6" x14ac:dyDescent="0.3">
      <c r="A128" s="107" t="s">
        <v>1</v>
      </c>
      <c r="B128" s="72" t="s">
        <v>162</v>
      </c>
      <c r="C128" s="73" t="s">
        <v>201</v>
      </c>
      <c r="D128" s="75">
        <f>SUM(E128+BZ128+CS128)</f>
        <v>156695733</v>
      </c>
      <c r="E128" s="75">
        <f>SUM(F128+BA128)</f>
        <v>156695733</v>
      </c>
      <c r="F128" s="75">
        <f>SUM(G128+H128+I128+P128+S128+T128+U128+AE128+AD128)</f>
        <v>142151339</v>
      </c>
      <c r="G128" s="76">
        <v>111046911</v>
      </c>
      <c r="H128" s="76">
        <v>26166269</v>
      </c>
      <c r="I128" s="75">
        <f t="shared" si="110"/>
        <v>2011731</v>
      </c>
      <c r="J128" s="76">
        <v>3748</v>
      </c>
      <c r="K128" s="76">
        <v>0</v>
      </c>
      <c r="L128" s="76">
        <v>1839983</v>
      </c>
      <c r="M128" s="76">
        <v>0</v>
      </c>
      <c r="N128" s="76">
        <v>150000</v>
      </c>
      <c r="O128" s="76">
        <v>18000</v>
      </c>
      <c r="P128" s="75">
        <f t="shared" si="111"/>
        <v>0</v>
      </c>
      <c r="Q128" s="76">
        <v>0</v>
      </c>
      <c r="R128" s="76">
        <v>0</v>
      </c>
      <c r="S128" s="76">
        <v>0</v>
      </c>
      <c r="T128" s="76">
        <v>284192</v>
      </c>
      <c r="U128" s="75">
        <f t="shared" si="270"/>
        <v>2199863</v>
      </c>
      <c r="V128" s="76">
        <v>0</v>
      </c>
      <c r="W128" s="76">
        <v>1503656</v>
      </c>
      <c r="X128" s="76">
        <v>359565</v>
      </c>
      <c r="Y128" s="76">
        <v>198193</v>
      </c>
      <c r="Z128" s="76">
        <v>138283</v>
      </c>
      <c r="AA128" s="76">
        <v>0</v>
      </c>
      <c r="AB128" s="76">
        <v>0</v>
      </c>
      <c r="AC128" s="76">
        <v>166</v>
      </c>
      <c r="AD128" s="75">
        <v>0</v>
      </c>
      <c r="AE128" s="75">
        <f>SUM(AF128:AZ128)</f>
        <v>442373</v>
      </c>
      <c r="AF128" s="77">
        <v>0</v>
      </c>
      <c r="AG128" s="77">
        <v>0</v>
      </c>
      <c r="AH128" s="76">
        <v>0</v>
      </c>
      <c r="AI128" s="76">
        <v>0</v>
      </c>
      <c r="AJ128" s="76">
        <v>146000</v>
      </c>
      <c r="AK128" s="76">
        <v>0</v>
      </c>
      <c r="AL128" s="76">
        <v>0</v>
      </c>
      <c r="AM128" s="76">
        <v>0</v>
      </c>
      <c r="AN128" s="76">
        <v>200000</v>
      </c>
      <c r="AO128" s="76">
        <v>0</v>
      </c>
      <c r="AP128" s="76">
        <v>0</v>
      </c>
      <c r="AQ128" s="76">
        <v>0</v>
      </c>
      <c r="AR128" s="76">
        <v>0</v>
      </c>
      <c r="AS128" s="76">
        <v>0</v>
      </c>
      <c r="AT128" s="76">
        <v>0</v>
      </c>
      <c r="AU128" s="76">
        <v>0</v>
      </c>
      <c r="AV128" s="76">
        <v>0</v>
      </c>
      <c r="AW128" s="76">
        <v>0</v>
      </c>
      <c r="AX128" s="76">
        <v>0</v>
      </c>
      <c r="AY128" s="76">
        <v>0</v>
      </c>
      <c r="AZ128" s="76">
        <v>96373</v>
      </c>
      <c r="BA128" s="75">
        <f>SUM(BB128+BF128+BI128+BK128+BN128)</f>
        <v>14544394</v>
      </c>
      <c r="BB128" s="75">
        <f>SUM(BC128:BE128)</f>
        <v>0</v>
      </c>
      <c r="BC128" s="75">
        <v>0</v>
      </c>
      <c r="BD128" s="75">
        <v>0</v>
      </c>
      <c r="BE128" s="75">
        <v>0</v>
      </c>
      <c r="BF128" s="75">
        <f>SUM(BH128:BH128)</f>
        <v>0</v>
      </c>
      <c r="BG128" s="75">
        <v>0</v>
      </c>
      <c r="BH128" s="75">
        <v>0</v>
      </c>
      <c r="BI128" s="75">
        <v>0</v>
      </c>
      <c r="BJ128" s="75">
        <v>0</v>
      </c>
      <c r="BK128" s="75">
        <f t="shared" si="112"/>
        <v>0</v>
      </c>
      <c r="BL128" s="75">
        <v>0</v>
      </c>
      <c r="BM128" s="75">
        <v>0</v>
      </c>
      <c r="BN128" s="75">
        <f>SUM(BO128:BY128)</f>
        <v>14544394</v>
      </c>
      <c r="BO128" s="75">
        <v>0</v>
      </c>
      <c r="BP128" s="75">
        <v>0</v>
      </c>
      <c r="BQ128" s="76">
        <v>8995858</v>
      </c>
      <c r="BR128" s="75">
        <v>0</v>
      </c>
      <c r="BS128" s="75">
        <v>0</v>
      </c>
      <c r="BT128" s="75">
        <v>0</v>
      </c>
      <c r="BU128" s="75">
        <v>0</v>
      </c>
      <c r="BV128" s="75">
        <v>0</v>
      </c>
      <c r="BW128" s="75">
        <v>0</v>
      </c>
      <c r="BX128" s="76">
        <v>4442241</v>
      </c>
      <c r="BY128" s="76">
        <v>1106295</v>
      </c>
      <c r="BZ128" s="75">
        <f>SUM(CA128+CO128)</f>
        <v>0</v>
      </c>
      <c r="CA128" s="75">
        <f>SUM(CB128+CE128+CK128)</f>
        <v>0</v>
      </c>
      <c r="CB128" s="75">
        <f t="shared" si="113"/>
        <v>0</v>
      </c>
      <c r="CC128" s="75">
        <v>0</v>
      </c>
      <c r="CD128" s="76"/>
      <c r="CE128" s="75">
        <f t="shared" si="271"/>
        <v>0</v>
      </c>
      <c r="CF128" s="75">
        <v>0</v>
      </c>
      <c r="CG128" s="75">
        <v>0</v>
      </c>
      <c r="CH128" s="75">
        <v>0</v>
      </c>
      <c r="CI128" s="75">
        <v>0</v>
      </c>
      <c r="CJ128" s="75">
        <v>0</v>
      </c>
      <c r="CK128" s="75">
        <f>SUM(CL128:CN128)</f>
        <v>0</v>
      </c>
      <c r="CL128" s="75">
        <v>0</v>
      </c>
      <c r="CM128" s="75">
        <v>0</v>
      </c>
      <c r="CN128" s="75"/>
      <c r="CO128" s="75">
        <v>0</v>
      </c>
      <c r="CP128" s="75"/>
      <c r="CQ128" s="75"/>
      <c r="CR128" s="75"/>
      <c r="CS128" s="75">
        <f t="shared" si="114"/>
        <v>0</v>
      </c>
      <c r="CT128" s="75">
        <f t="shared" si="115"/>
        <v>0</v>
      </c>
      <c r="CU128" s="75">
        <v>0</v>
      </c>
      <c r="CV128" s="78">
        <v>0</v>
      </c>
      <c r="CW128" s="79"/>
    </row>
    <row r="129" spans="1:101" s="58" customFormat="1" ht="15.6" x14ac:dyDescent="0.3">
      <c r="A129" s="105" t="s">
        <v>1</v>
      </c>
      <c r="B129" s="21" t="s">
        <v>70</v>
      </c>
      <c r="C129" s="22" t="s">
        <v>486</v>
      </c>
      <c r="D129" s="19">
        <f>SUM(E129+BZ129+CS129)</f>
        <v>21347185</v>
      </c>
      <c r="E129" s="19">
        <f>SUM(F129+BA129)</f>
        <v>21170462</v>
      </c>
      <c r="F129" s="19">
        <f>SUM(G129+H129+I129+P129+S129+T129+U129+AE129+AD129)</f>
        <v>20099777</v>
      </c>
      <c r="G129" s="23">
        <v>15658136</v>
      </c>
      <c r="H129" s="23">
        <v>3752360</v>
      </c>
      <c r="I129" s="19">
        <f t="shared" si="110"/>
        <v>338334</v>
      </c>
      <c r="J129" s="23">
        <v>5357</v>
      </c>
      <c r="K129" s="23">
        <v>40400</v>
      </c>
      <c r="L129" s="23">
        <v>227826</v>
      </c>
      <c r="M129" s="23">
        <v>0</v>
      </c>
      <c r="N129" s="23">
        <v>23150</v>
      </c>
      <c r="O129" s="23">
        <v>41601</v>
      </c>
      <c r="P129" s="19">
        <f t="shared" si="111"/>
        <v>0</v>
      </c>
      <c r="Q129" s="23">
        <v>0</v>
      </c>
      <c r="R129" s="23">
        <v>0</v>
      </c>
      <c r="S129" s="23">
        <v>0</v>
      </c>
      <c r="T129" s="23">
        <v>41334</v>
      </c>
      <c r="U129" s="19">
        <f t="shared" si="270"/>
        <v>237930</v>
      </c>
      <c r="V129" s="23">
        <v>1215</v>
      </c>
      <c r="W129" s="23">
        <v>178963</v>
      </c>
      <c r="X129" s="23">
        <v>32285</v>
      </c>
      <c r="Y129" s="23">
        <v>14900</v>
      </c>
      <c r="Z129" s="23">
        <v>10567</v>
      </c>
      <c r="AA129" s="23">
        <v>0</v>
      </c>
      <c r="AB129" s="23">
        <v>0</v>
      </c>
      <c r="AC129" s="23">
        <v>0</v>
      </c>
      <c r="AD129" s="19">
        <v>0</v>
      </c>
      <c r="AE129" s="19">
        <f>SUM(AF129:AZ129)</f>
        <v>71683</v>
      </c>
      <c r="AF129" s="24">
        <v>0</v>
      </c>
      <c r="AG129" s="24">
        <v>0</v>
      </c>
      <c r="AH129" s="23">
        <v>0</v>
      </c>
      <c r="AI129" s="23">
        <v>13782</v>
      </c>
      <c r="AJ129" s="23">
        <v>0</v>
      </c>
      <c r="AK129" s="23">
        <v>7416</v>
      </c>
      <c r="AL129" s="23">
        <v>0</v>
      </c>
      <c r="AM129" s="23">
        <v>1200</v>
      </c>
      <c r="AN129" s="23">
        <v>10645</v>
      </c>
      <c r="AO129" s="23">
        <v>0</v>
      </c>
      <c r="AP129" s="23">
        <v>0</v>
      </c>
      <c r="AQ129" s="23">
        <v>0</v>
      </c>
      <c r="AR129" s="23">
        <v>0</v>
      </c>
      <c r="AS129" s="23">
        <v>38640</v>
      </c>
      <c r="AT129" s="23">
        <v>0</v>
      </c>
      <c r="AU129" s="23">
        <v>0</v>
      </c>
      <c r="AV129" s="23">
        <v>0</v>
      </c>
      <c r="AW129" s="23">
        <v>0</v>
      </c>
      <c r="AX129" s="23">
        <v>0</v>
      </c>
      <c r="AY129" s="23">
        <v>0</v>
      </c>
      <c r="AZ129" s="23">
        <v>0</v>
      </c>
      <c r="BA129" s="19">
        <f>SUM(BB129+BF129+BI129+BK129+BN129)</f>
        <v>1070685</v>
      </c>
      <c r="BB129" s="19">
        <f>SUM(BC129:BE129)</f>
        <v>0</v>
      </c>
      <c r="BC129" s="19">
        <v>0</v>
      </c>
      <c r="BD129" s="19">
        <v>0</v>
      </c>
      <c r="BE129" s="19">
        <v>0</v>
      </c>
      <c r="BF129" s="19">
        <f>SUM(BH129:BH129)</f>
        <v>0</v>
      </c>
      <c r="BG129" s="19">
        <v>0</v>
      </c>
      <c r="BH129" s="19">
        <v>0</v>
      </c>
      <c r="BI129" s="19">
        <v>0</v>
      </c>
      <c r="BJ129" s="19">
        <v>0</v>
      </c>
      <c r="BK129" s="19">
        <f t="shared" si="112"/>
        <v>0</v>
      </c>
      <c r="BL129" s="19">
        <v>0</v>
      </c>
      <c r="BM129" s="19">
        <v>0</v>
      </c>
      <c r="BN129" s="19">
        <f>SUM(BO129:BY129)</f>
        <v>1070685</v>
      </c>
      <c r="BO129" s="19">
        <v>0</v>
      </c>
      <c r="BP129" s="19">
        <v>0</v>
      </c>
      <c r="BQ129" s="23">
        <v>618782</v>
      </c>
      <c r="BR129" s="19">
        <v>0</v>
      </c>
      <c r="BS129" s="19">
        <v>0</v>
      </c>
      <c r="BT129" s="19">
        <v>0</v>
      </c>
      <c r="BU129" s="19">
        <v>0</v>
      </c>
      <c r="BV129" s="19">
        <v>0</v>
      </c>
      <c r="BW129" s="19">
        <v>0</v>
      </c>
      <c r="BX129" s="23">
        <v>451903</v>
      </c>
      <c r="BY129" s="23">
        <v>0</v>
      </c>
      <c r="BZ129" s="19">
        <f>SUM(CA129+CO129)</f>
        <v>176723</v>
      </c>
      <c r="CA129" s="19">
        <f>SUM(CB129+CE129+CK129)</f>
        <v>176723</v>
      </c>
      <c r="CB129" s="19">
        <f t="shared" si="113"/>
        <v>176723</v>
      </c>
      <c r="CC129" s="19">
        <v>0</v>
      </c>
      <c r="CD129" s="23">
        <v>176723</v>
      </c>
      <c r="CE129" s="19">
        <f t="shared" si="271"/>
        <v>0</v>
      </c>
      <c r="CF129" s="19">
        <v>0</v>
      </c>
      <c r="CG129" s="19">
        <v>0</v>
      </c>
      <c r="CH129" s="19">
        <v>0</v>
      </c>
      <c r="CI129" s="19">
        <v>0</v>
      </c>
      <c r="CJ129" s="19">
        <v>0</v>
      </c>
      <c r="CK129" s="19">
        <f>SUM(CL129:CN129)</f>
        <v>0</v>
      </c>
      <c r="CL129" s="19"/>
      <c r="CM129" s="19">
        <v>0</v>
      </c>
      <c r="CN129" s="19"/>
      <c r="CO129" s="19">
        <v>0</v>
      </c>
      <c r="CP129" s="75"/>
      <c r="CQ129" s="75"/>
      <c r="CR129" s="75"/>
      <c r="CS129" s="19">
        <f t="shared" si="114"/>
        <v>0</v>
      </c>
      <c r="CT129" s="19">
        <f t="shared" si="115"/>
        <v>0</v>
      </c>
      <c r="CU129" s="19">
        <v>0</v>
      </c>
      <c r="CV129" s="20">
        <v>0</v>
      </c>
      <c r="CW129" s="52"/>
    </row>
    <row r="130" spans="1:101" ht="31.2" x14ac:dyDescent="0.3">
      <c r="A130" s="104" t="s">
        <v>202</v>
      </c>
      <c r="B130" s="16" t="s">
        <v>1</v>
      </c>
      <c r="C130" s="17" t="s">
        <v>203</v>
      </c>
      <c r="D130" s="18">
        <f>SUM(D131)</f>
        <v>5143545</v>
      </c>
      <c r="E130" s="18">
        <f t="shared" ref="E130:BT130" si="272">SUM(E131)</f>
        <v>5143545</v>
      </c>
      <c r="F130" s="18">
        <f t="shared" si="272"/>
        <v>5143545</v>
      </c>
      <c r="G130" s="18">
        <f t="shared" si="272"/>
        <v>4080695</v>
      </c>
      <c r="H130" s="18">
        <f t="shared" si="272"/>
        <v>924351</v>
      </c>
      <c r="I130" s="18">
        <f t="shared" si="272"/>
        <v>48163</v>
      </c>
      <c r="J130" s="18">
        <f t="shared" si="272"/>
        <v>0</v>
      </c>
      <c r="K130" s="18">
        <f t="shared" si="272"/>
        <v>0</v>
      </c>
      <c r="L130" s="18">
        <f t="shared" si="272"/>
        <v>0</v>
      </c>
      <c r="M130" s="18">
        <f t="shared" si="272"/>
        <v>0</v>
      </c>
      <c r="N130" s="18">
        <f t="shared" si="272"/>
        <v>37149</v>
      </c>
      <c r="O130" s="18">
        <f t="shared" si="272"/>
        <v>11014</v>
      </c>
      <c r="P130" s="18">
        <f t="shared" si="272"/>
        <v>0</v>
      </c>
      <c r="Q130" s="18">
        <f t="shared" si="272"/>
        <v>0</v>
      </c>
      <c r="R130" s="18">
        <f t="shared" si="272"/>
        <v>0</v>
      </c>
      <c r="S130" s="18">
        <f t="shared" si="272"/>
        <v>0</v>
      </c>
      <c r="T130" s="18">
        <f t="shared" si="272"/>
        <v>16757</v>
      </c>
      <c r="U130" s="18">
        <f t="shared" si="272"/>
        <v>69462</v>
      </c>
      <c r="V130" s="18">
        <f t="shared" si="272"/>
        <v>1680</v>
      </c>
      <c r="W130" s="18">
        <f t="shared" si="272"/>
        <v>50971</v>
      </c>
      <c r="X130" s="18">
        <f t="shared" si="272"/>
        <v>9819</v>
      </c>
      <c r="Y130" s="18">
        <f t="shared" si="272"/>
        <v>5214</v>
      </c>
      <c r="Z130" s="18">
        <f t="shared" si="272"/>
        <v>1778</v>
      </c>
      <c r="AA130" s="18">
        <f t="shared" si="272"/>
        <v>0</v>
      </c>
      <c r="AB130" s="18">
        <f t="shared" si="272"/>
        <v>0</v>
      </c>
      <c r="AC130" s="18">
        <f t="shared" si="272"/>
        <v>0</v>
      </c>
      <c r="AD130" s="18">
        <f t="shared" si="272"/>
        <v>0</v>
      </c>
      <c r="AE130" s="18">
        <f t="shared" si="272"/>
        <v>4117</v>
      </c>
      <c r="AF130" s="18">
        <f t="shared" si="272"/>
        <v>0</v>
      </c>
      <c r="AG130" s="18">
        <f t="shared" si="272"/>
        <v>0</v>
      </c>
      <c r="AH130" s="18">
        <f t="shared" si="272"/>
        <v>1300</v>
      </c>
      <c r="AI130" s="18">
        <f t="shared" si="272"/>
        <v>0</v>
      </c>
      <c r="AJ130" s="18">
        <f t="shared" si="272"/>
        <v>0</v>
      </c>
      <c r="AK130" s="18">
        <f t="shared" si="272"/>
        <v>0</v>
      </c>
      <c r="AL130" s="18">
        <f t="shared" si="272"/>
        <v>0</v>
      </c>
      <c r="AM130" s="18">
        <f t="shared" si="272"/>
        <v>312</v>
      </c>
      <c r="AN130" s="18">
        <f t="shared" si="272"/>
        <v>2505</v>
      </c>
      <c r="AO130" s="18">
        <f t="shared" si="272"/>
        <v>0</v>
      </c>
      <c r="AP130" s="18">
        <f t="shared" si="272"/>
        <v>0</v>
      </c>
      <c r="AQ130" s="18">
        <f t="shared" si="272"/>
        <v>0</v>
      </c>
      <c r="AR130" s="18">
        <f t="shared" si="272"/>
        <v>0</v>
      </c>
      <c r="AS130" s="18">
        <f t="shared" si="272"/>
        <v>0</v>
      </c>
      <c r="AT130" s="18"/>
      <c r="AU130" s="18"/>
      <c r="AV130" s="18">
        <f t="shared" si="272"/>
        <v>0</v>
      </c>
      <c r="AW130" s="18">
        <f t="shared" si="272"/>
        <v>0</v>
      </c>
      <c r="AX130" s="18">
        <f t="shared" si="272"/>
        <v>0</v>
      </c>
      <c r="AY130" s="18"/>
      <c r="AZ130" s="18">
        <f t="shared" si="272"/>
        <v>0</v>
      </c>
      <c r="BA130" s="18">
        <f t="shared" si="272"/>
        <v>0</v>
      </c>
      <c r="BB130" s="18">
        <f t="shared" si="272"/>
        <v>0</v>
      </c>
      <c r="BC130" s="18">
        <f t="shared" si="272"/>
        <v>0</v>
      </c>
      <c r="BD130" s="18">
        <f t="shared" si="272"/>
        <v>0</v>
      </c>
      <c r="BE130" s="18">
        <f t="shared" si="272"/>
        <v>0</v>
      </c>
      <c r="BF130" s="18">
        <f t="shared" si="272"/>
        <v>0</v>
      </c>
      <c r="BG130" s="18">
        <f t="shared" si="272"/>
        <v>0</v>
      </c>
      <c r="BH130" s="18">
        <f t="shared" si="272"/>
        <v>0</v>
      </c>
      <c r="BI130" s="18">
        <f t="shared" si="272"/>
        <v>0</v>
      </c>
      <c r="BJ130" s="18">
        <f t="shared" si="272"/>
        <v>0</v>
      </c>
      <c r="BK130" s="18">
        <f t="shared" si="272"/>
        <v>0</v>
      </c>
      <c r="BL130" s="18">
        <f t="shared" si="272"/>
        <v>0</v>
      </c>
      <c r="BM130" s="18">
        <f t="shared" si="272"/>
        <v>0</v>
      </c>
      <c r="BN130" s="18">
        <f t="shared" si="272"/>
        <v>0</v>
      </c>
      <c r="BO130" s="18">
        <f t="shared" si="272"/>
        <v>0</v>
      </c>
      <c r="BP130" s="18">
        <f t="shared" si="272"/>
        <v>0</v>
      </c>
      <c r="BQ130" s="18">
        <f t="shared" si="272"/>
        <v>0</v>
      </c>
      <c r="BR130" s="18">
        <f t="shared" si="272"/>
        <v>0</v>
      </c>
      <c r="BS130" s="18">
        <f t="shared" si="272"/>
        <v>0</v>
      </c>
      <c r="BT130" s="18">
        <f t="shared" si="272"/>
        <v>0</v>
      </c>
      <c r="BU130" s="18">
        <f t="shared" ref="BU130:CV130" si="273">SUM(BU131)</f>
        <v>0</v>
      </c>
      <c r="BV130" s="18">
        <f t="shared" si="273"/>
        <v>0</v>
      </c>
      <c r="BW130" s="18">
        <f t="shared" si="273"/>
        <v>0</v>
      </c>
      <c r="BX130" s="18">
        <f t="shared" si="273"/>
        <v>0</v>
      </c>
      <c r="BY130" s="18">
        <f t="shared" si="273"/>
        <v>0</v>
      </c>
      <c r="BZ130" s="18">
        <f t="shared" si="273"/>
        <v>0</v>
      </c>
      <c r="CA130" s="18">
        <f t="shared" si="273"/>
        <v>0</v>
      </c>
      <c r="CB130" s="18">
        <f t="shared" si="273"/>
        <v>0</v>
      </c>
      <c r="CC130" s="18">
        <f t="shared" si="273"/>
        <v>0</v>
      </c>
      <c r="CD130" s="18">
        <f t="shared" si="273"/>
        <v>0</v>
      </c>
      <c r="CE130" s="18">
        <f t="shared" si="273"/>
        <v>0</v>
      </c>
      <c r="CF130" s="18">
        <f t="shared" si="273"/>
        <v>0</v>
      </c>
      <c r="CG130" s="18">
        <f t="shared" si="273"/>
        <v>0</v>
      </c>
      <c r="CH130" s="18">
        <f t="shared" si="273"/>
        <v>0</v>
      </c>
      <c r="CI130" s="18">
        <f t="shared" si="273"/>
        <v>0</v>
      </c>
      <c r="CJ130" s="18">
        <f t="shared" si="273"/>
        <v>0</v>
      </c>
      <c r="CK130" s="18">
        <f t="shared" si="273"/>
        <v>0</v>
      </c>
      <c r="CL130" s="18">
        <f t="shared" si="273"/>
        <v>0</v>
      </c>
      <c r="CM130" s="18">
        <f t="shared" si="273"/>
        <v>0</v>
      </c>
      <c r="CN130" s="18"/>
      <c r="CO130" s="18">
        <f t="shared" si="273"/>
        <v>0</v>
      </c>
      <c r="CP130" s="74"/>
      <c r="CQ130" s="74"/>
      <c r="CR130" s="74"/>
      <c r="CS130" s="18">
        <f t="shared" si="273"/>
        <v>0</v>
      </c>
      <c r="CT130" s="18">
        <f t="shared" si="273"/>
        <v>0</v>
      </c>
      <c r="CU130" s="18">
        <f t="shared" si="273"/>
        <v>0</v>
      </c>
      <c r="CV130" s="46">
        <f t="shared" si="273"/>
        <v>0</v>
      </c>
      <c r="CW130" s="57"/>
    </row>
    <row r="131" spans="1:101" s="58" customFormat="1" ht="31.2" x14ac:dyDescent="0.3">
      <c r="A131" s="105" t="s">
        <v>1</v>
      </c>
      <c r="B131" s="21" t="s">
        <v>60</v>
      </c>
      <c r="C131" s="22" t="s">
        <v>204</v>
      </c>
      <c r="D131" s="19">
        <f>SUM(E131+BZ131+CS131)</f>
        <v>5143545</v>
      </c>
      <c r="E131" s="19">
        <f>SUM(F131+BA131)</f>
        <v>5143545</v>
      </c>
      <c r="F131" s="19">
        <f>SUM(G131+H131+I131+P131+S131+T131+U131+AE131+AD131)</f>
        <v>5143545</v>
      </c>
      <c r="G131" s="19">
        <v>4080695</v>
      </c>
      <c r="H131" s="19">
        <v>924351</v>
      </c>
      <c r="I131" s="19">
        <f t="shared" si="110"/>
        <v>48163</v>
      </c>
      <c r="J131" s="19">
        <v>0</v>
      </c>
      <c r="K131" s="19">
        <v>0</v>
      </c>
      <c r="L131" s="19">
        <v>0</v>
      </c>
      <c r="M131" s="19">
        <v>0</v>
      </c>
      <c r="N131" s="24">
        <v>37149</v>
      </c>
      <c r="O131" s="24">
        <v>11014</v>
      </c>
      <c r="P131" s="19">
        <f t="shared" si="111"/>
        <v>0</v>
      </c>
      <c r="Q131" s="24"/>
      <c r="R131" s="19">
        <v>0</v>
      </c>
      <c r="S131" s="19">
        <v>0</v>
      </c>
      <c r="T131" s="24">
        <v>16757</v>
      </c>
      <c r="U131" s="19">
        <f>SUM(V131:AC131)</f>
        <v>69462</v>
      </c>
      <c r="V131" s="23">
        <v>1680</v>
      </c>
      <c r="W131" s="23">
        <v>50971</v>
      </c>
      <c r="X131" s="23">
        <v>9819</v>
      </c>
      <c r="Y131" s="23">
        <v>5214</v>
      </c>
      <c r="Z131" s="23">
        <v>1778</v>
      </c>
      <c r="AA131" s="23">
        <v>0</v>
      </c>
      <c r="AB131" s="23">
        <v>0</v>
      </c>
      <c r="AC131" s="23">
        <v>0</v>
      </c>
      <c r="AD131" s="23">
        <v>0</v>
      </c>
      <c r="AE131" s="19">
        <f>SUM(AF131:AZ131)</f>
        <v>4117</v>
      </c>
      <c r="AF131" s="19">
        <v>0</v>
      </c>
      <c r="AG131" s="19">
        <v>0</v>
      </c>
      <c r="AH131" s="23">
        <v>1300</v>
      </c>
      <c r="AI131" s="23"/>
      <c r="AJ131" s="23">
        <v>0</v>
      </c>
      <c r="AK131" s="23"/>
      <c r="AL131" s="23">
        <v>0</v>
      </c>
      <c r="AM131" s="23">
        <v>312</v>
      </c>
      <c r="AN131" s="23">
        <v>2505</v>
      </c>
      <c r="AO131" s="23">
        <v>0</v>
      </c>
      <c r="AP131" s="23">
        <v>0</v>
      </c>
      <c r="AQ131" s="23">
        <v>0</v>
      </c>
      <c r="AR131" s="23">
        <v>0</v>
      </c>
      <c r="AS131" s="23">
        <v>0</v>
      </c>
      <c r="AT131" s="23">
        <v>0</v>
      </c>
      <c r="AU131" s="23">
        <v>0</v>
      </c>
      <c r="AV131" s="23">
        <v>0</v>
      </c>
      <c r="AW131" s="23">
        <v>0</v>
      </c>
      <c r="AX131" s="23">
        <v>0</v>
      </c>
      <c r="AY131" s="23">
        <v>0</v>
      </c>
      <c r="AZ131" s="23">
        <v>0</v>
      </c>
      <c r="BA131" s="19">
        <f>SUM(BB131+BF131+BI131+BK131+BN131)</f>
        <v>0</v>
      </c>
      <c r="BB131" s="19">
        <f>SUM(BC131:BE131)</f>
        <v>0</v>
      </c>
      <c r="BC131" s="19">
        <v>0</v>
      </c>
      <c r="BD131" s="19">
        <v>0</v>
      </c>
      <c r="BE131" s="19">
        <v>0</v>
      </c>
      <c r="BF131" s="19">
        <f>SUM(BH131:BH131)</f>
        <v>0</v>
      </c>
      <c r="BG131" s="19">
        <v>0</v>
      </c>
      <c r="BH131" s="19">
        <v>0</v>
      </c>
      <c r="BI131" s="19">
        <v>0</v>
      </c>
      <c r="BJ131" s="19">
        <v>0</v>
      </c>
      <c r="BK131" s="19">
        <f t="shared" si="112"/>
        <v>0</v>
      </c>
      <c r="BL131" s="19">
        <v>0</v>
      </c>
      <c r="BM131" s="19">
        <v>0</v>
      </c>
      <c r="BN131" s="19">
        <f>SUM(BO131:BY131)</f>
        <v>0</v>
      </c>
      <c r="BO131" s="19">
        <v>0</v>
      </c>
      <c r="BP131" s="19">
        <v>0</v>
      </c>
      <c r="BQ131" s="19">
        <v>0</v>
      </c>
      <c r="BR131" s="19">
        <v>0</v>
      </c>
      <c r="BS131" s="19">
        <v>0</v>
      </c>
      <c r="BT131" s="19">
        <v>0</v>
      </c>
      <c r="BU131" s="19">
        <v>0</v>
      </c>
      <c r="BV131" s="19">
        <v>0</v>
      </c>
      <c r="BW131" s="19">
        <v>0</v>
      </c>
      <c r="BX131" s="19">
        <v>0</v>
      </c>
      <c r="BY131" s="19">
        <v>0</v>
      </c>
      <c r="BZ131" s="19">
        <f>SUM(CA131+CO131)</f>
        <v>0</v>
      </c>
      <c r="CA131" s="19">
        <f>SUM(CB131+CE131+CK131)</f>
        <v>0</v>
      </c>
      <c r="CB131" s="19">
        <f t="shared" si="113"/>
        <v>0</v>
      </c>
      <c r="CC131" s="19">
        <v>0</v>
      </c>
      <c r="CD131" s="19"/>
      <c r="CE131" s="19">
        <f>SUM(CF131:CJ131)</f>
        <v>0</v>
      </c>
      <c r="CF131" s="19">
        <v>0</v>
      </c>
      <c r="CG131" s="19">
        <v>0</v>
      </c>
      <c r="CH131" s="19">
        <v>0</v>
      </c>
      <c r="CI131" s="19">
        <v>0</v>
      </c>
      <c r="CJ131" s="19">
        <v>0</v>
      </c>
      <c r="CK131" s="19">
        <f>SUM(CL131:CN131)</f>
        <v>0</v>
      </c>
      <c r="CL131" s="19">
        <v>0</v>
      </c>
      <c r="CM131" s="19">
        <v>0</v>
      </c>
      <c r="CN131" s="19"/>
      <c r="CO131" s="19">
        <v>0</v>
      </c>
      <c r="CP131" s="75"/>
      <c r="CQ131" s="75"/>
      <c r="CR131" s="75"/>
      <c r="CS131" s="19">
        <f t="shared" si="114"/>
        <v>0</v>
      </c>
      <c r="CT131" s="19">
        <f t="shared" si="115"/>
        <v>0</v>
      </c>
      <c r="CU131" s="19">
        <v>0</v>
      </c>
      <c r="CV131" s="20">
        <v>0</v>
      </c>
      <c r="CW131" s="52"/>
    </row>
    <row r="132" spans="1:101" ht="31.2" x14ac:dyDescent="0.3">
      <c r="A132" s="104" t="s">
        <v>205</v>
      </c>
      <c r="B132" s="16" t="s">
        <v>1</v>
      </c>
      <c r="C132" s="17" t="s">
        <v>206</v>
      </c>
      <c r="D132" s="18">
        <f t="shared" ref="D132:AK132" si="274">SUM(D133)</f>
        <v>9336360</v>
      </c>
      <c r="E132" s="18">
        <f t="shared" si="274"/>
        <v>9145855</v>
      </c>
      <c r="F132" s="18">
        <f t="shared" si="274"/>
        <v>7793228</v>
      </c>
      <c r="G132" s="18">
        <f t="shared" si="274"/>
        <v>4419714</v>
      </c>
      <c r="H132" s="18">
        <f t="shared" si="274"/>
        <v>1046397</v>
      </c>
      <c r="I132" s="18">
        <f t="shared" si="274"/>
        <v>1757033</v>
      </c>
      <c r="J132" s="18">
        <f t="shared" si="274"/>
        <v>20069</v>
      </c>
      <c r="K132" s="18">
        <f t="shared" si="274"/>
        <v>181482</v>
      </c>
      <c r="L132" s="18">
        <f t="shared" si="274"/>
        <v>1116912</v>
      </c>
      <c r="M132" s="18">
        <f t="shared" si="274"/>
        <v>0</v>
      </c>
      <c r="N132" s="18">
        <f t="shared" si="274"/>
        <v>156810</v>
      </c>
      <c r="O132" s="18">
        <f t="shared" si="274"/>
        <v>281760</v>
      </c>
      <c r="P132" s="18">
        <f t="shared" si="274"/>
        <v>0</v>
      </c>
      <c r="Q132" s="18">
        <f t="shared" si="274"/>
        <v>0</v>
      </c>
      <c r="R132" s="18">
        <f t="shared" si="274"/>
        <v>0</v>
      </c>
      <c r="S132" s="18">
        <f t="shared" si="274"/>
        <v>0</v>
      </c>
      <c r="T132" s="18">
        <f t="shared" si="274"/>
        <v>11553</v>
      </c>
      <c r="U132" s="18">
        <f t="shared" si="274"/>
        <v>290849</v>
      </c>
      <c r="V132" s="18">
        <f t="shared" si="274"/>
        <v>17057</v>
      </c>
      <c r="W132" s="18">
        <f t="shared" si="274"/>
        <v>172493</v>
      </c>
      <c r="X132" s="18">
        <f t="shared" si="274"/>
        <v>46780</v>
      </c>
      <c r="Y132" s="18">
        <f t="shared" si="274"/>
        <v>49408</v>
      </c>
      <c r="Z132" s="18">
        <f t="shared" si="274"/>
        <v>5111</v>
      </c>
      <c r="AA132" s="18">
        <f t="shared" si="274"/>
        <v>0</v>
      </c>
      <c r="AB132" s="18">
        <f t="shared" si="274"/>
        <v>0</v>
      </c>
      <c r="AC132" s="18">
        <f t="shared" si="274"/>
        <v>0</v>
      </c>
      <c r="AD132" s="18">
        <f t="shared" si="274"/>
        <v>0</v>
      </c>
      <c r="AE132" s="18">
        <f t="shared" si="274"/>
        <v>267682</v>
      </c>
      <c r="AF132" s="18">
        <f t="shared" si="274"/>
        <v>0</v>
      </c>
      <c r="AG132" s="18">
        <f t="shared" si="274"/>
        <v>0</v>
      </c>
      <c r="AH132" s="18">
        <f t="shared" si="274"/>
        <v>7800</v>
      </c>
      <c r="AI132" s="18">
        <f t="shared" si="274"/>
        <v>23451</v>
      </c>
      <c r="AJ132" s="18">
        <f t="shared" si="274"/>
        <v>2145</v>
      </c>
      <c r="AK132" s="18">
        <f t="shared" si="274"/>
        <v>2057</v>
      </c>
      <c r="AL132" s="18">
        <f t="shared" ref="AL132:CV132" si="275">SUM(AL133)</f>
        <v>0</v>
      </c>
      <c r="AM132" s="18">
        <f t="shared" si="275"/>
        <v>0</v>
      </c>
      <c r="AN132" s="18">
        <f t="shared" si="275"/>
        <v>1510</v>
      </c>
      <c r="AO132" s="18">
        <f t="shared" si="275"/>
        <v>0</v>
      </c>
      <c r="AP132" s="18">
        <f t="shared" si="275"/>
        <v>0</v>
      </c>
      <c r="AQ132" s="18">
        <f t="shared" si="275"/>
        <v>0</v>
      </c>
      <c r="AR132" s="18">
        <f t="shared" si="275"/>
        <v>190385</v>
      </c>
      <c r="AS132" s="18">
        <f t="shared" si="275"/>
        <v>28464</v>
      </c>
      <c r="AT132" s="18"/>
      <c r="AU132" s="18"/>
      <c r="AV132" s="18">
        <f t="shared" si="275"/>
        <v>0</v>
      </c>
      <c r="AW132" s="18">
        <f t="shared" si="275"/>
        <v>0</v>
      </c>
      <c r="AX132" s="18">
        <f t="shared" si="275"/>
        <v>0</v>
      </c>
      <c r="AY132" s="18"/>
      <c r="AZ132" s="18">
        <f t="shared" si="275"/>
        <v>11870</v>
      </c>
      <c r="BA132" s="18">
        <f t="shared" si="275"/>
        <v>1352627</v>
      </c>
      <c r="BB132" s="18">
        <f t="shared" si="275"/>
        <v>0</v>
      </c>
      <c r="BC132" s="18">
        <f t="shared" si="275"/>
        <v>0</v>
      </c>
      <c r="BD132" s="18">
        <f t="shared" si="275"/>
        <v>0</v>
      </c>
      <c r="BE132" s="18">
        <f t="shared" si="275"/>
        <v>0</v>
      </c>
      <c r="BF132" s="18">
        <f t="shared" si="275"/>
        <v>0</v>
      </c>
      <c r="BG132" s="18">
        <f t="shared" si="275"/>
        <v>0</v>
      </c>
      <c r="BH132" s="18">
        <f t="shared" si="275"/>
        <v>0</v>
      </c>
      <c r="BI132" s="18">
        <f t="shared" si="275"/>
        <v>0</v>
      </c>
      <c r="BJ132" s="18">
        <f t="shared" si="275"/>
        <v>0</v>
      </c>
      <c r="BK132" s="18">
        <f t="shared" si="275"/>
        <v>0</v>
      </c>
      <c r="BL132" s="18">
        <f t="shared" si="275"/>
        <v>0</v>
      </c>
      <c r="BM132" s="18">
        <f t="shared" si="275"/>
        <v>0</v>
      </c>
      <c r="BN132" s="18">
        <f t="shared" si="275"/>
        <v>1352627</v>
      </c>
      <c r="BO132" s="18">
        <f t="shared" si="275"/>
        <v>0</v>
      </c>
      <c r="BP132" s="18">
        <f t="shared" si="275"/>
        <v>0</v>
      </c>
      <c r="BQ132" s="18">
        <f t="shared" si="275"/>
        <v>0</v>
      </c>
      <c r="BR132" s="18">
        <f t="shared" si="275"/>
        <v>0</v>
      </c>
      <c r="BS132" s="18">
        <f t="shared" si="275"/>
        <v>0</v>
      </c>
      <c r="BT132" s="18">
        <f t="shared" si="275"/>
        <v>0</v>
      </c>
      <c r="BU132" s="18">
        <f t="shared" si="275"/>
        <v>0</v>
      </c>
      <c r="BV132" s="18">
        <f t="shared" si="275"/>
        <v>0</v>
      </c>
      <c r="BW132" s="18">
        <f t="shared" si="275"/>
        <v>0</v>
      </c>
      <c r="BX132" s="18">
        <f t="shared" si="275"/>
        <v>0</v>
      </c>
      <c r="BY132" s="18">
        <f t="shared" si="275"/>
        <v>1352627</v>
      </c>
      <c r="BZ132" s="18">
        <f t="shared" si="275"/>
        <v>190505</v>
      </c>
      <c r="CA132" s="18">
        <f t="shared" si="275"/>
        <v>190505</v>
      </c>
      <c r="CB132" s="18">
        <f t="shared" si="275"/>
        <v>190505</v>
      </c>
      <c r="CC132" s="18">
        <f t="shared" si="275"/>
        <v>0</v>
      </c>
      <c r="CD132" s="18">
        <f t="shared" si="275"/>
        <v>190505</v>
      </c>
      <c r="CE132" s="18">
        <f t="shared" si="275"/>
        <v>0</v>
      </c>
      <c r="CF132" s="18">
        <f t="shared" si="275"/>
        <v>0</v>
      </c>
      <c r="CG132" s="18">
        <f t="shared" si="275"/>
        <v>0</v>
      </c>
      <c r="CH132" s="18">
        <f t="shared" si="275"/>
        <v>0</v>
      </c>
      <c r="CI132" s="18">
        <f t="shared" si="275"/>
        <v>0</v>
      </c>
      <c r="CJ132" s="18">
        <f t="shared" si="275"/>
        <v>0</v>
      </c>
      <c r="CK132" s="18">
        <f t="shared" si="275"/>
        <v>0</v>
      </c>
      <c r="CL132" s="18">
        <f t="shared" si="275"/>
        <v>0</v>
      </c>
      <c r="CM132" s="18">
        <f t="shared" si="275"/>
        <v>0</v>
      </c>
      <c r="CN132" s="18"/>
      <c r="CO132" s="18">
        <f t="shared" si="275"/>
        <v>0</v>
      </c>
      <c r="CP132" s="74"/>
      <c r="CQ132" s="74"/>
      <c r="CR132" s="74"/>
      <c r="CS132" s="18">
        <f t="shared" si="275"/>
        <v>0</v>
      </c>
      <c r="CT132" s="18">
        <f t="shared" si="275"/>
        <v>0</v>
      </c>
      <c r="CU132" s="18">
        <f t="shared" si="275"/>
        <v>0</v>
      </c>
      <c r="CV132" s="46">
        <f t="shared" si="275"/>
        <v>0</v>
      </c>
      <c r="CW132" s="57"/>
    </row>
    <row r="133" spans="1:101" s="58" customFormat="1" ht="15.6" x14ac:dyDescent="0.3">
      <c r="A133" s="105" t="s">
        <v>1</v>
      </c>
      <c r="B133" s="21" t="s">
        <v>56</v>
      </c>
      <c r="C133" s="22" t="s">
        <v>207</v>
      </c>
      <c r="D133" s="19">
        <f>SUM(E133+BZ133+CS133)</f>
        <v>9336360</v>
      </c>
      <c r="E133" s="19">
        <f>SUM(F133+BA133)</f>
        <v>9145855</v>
      </c>
      <c r="F133" s="19">
        <f>SUM(G133+H133+I133+P133+S133+T133+U133+AE133+AD133)</f>
        <v>7793228</v>
      </c>
      <c r="G133" s="23">
        <v>4419714</v>
      </c>
      <c r="H133" s="23">
        <v>1046397</v>
      </c>
      <c r="I133" s="19">
        <f t="shared" si="110"/>
        <v>1757033</v>
      </c>
      <c r="J133" s="23">
        <v>20069</v>
      </c>
      <c r="K133" s="23">
        <v>181482</v>
      </c>
      <c r="L133" s="23">
        <v>1116912</v>
      </c>
      <c r="M133" s="23">
        <v>0</v>
      </c>
      <c r="N133" s="23">
        <v>156810</v>
      </c>
      <c r="O133" s="23">
        <v>281760</v>
      </c>
      <c r="P133" s="19">
        <f t="shared" si="111"/>
        <v>0</v>
      </c>
      <c r="Q133" s="19">
        <v>0</v>
      </c>
      <c r="R133" s="19">
        <v>0</v>
      </c>
      <c r="S133" s="19">
        <v>0</v>
      </c>
      <c r="T133" s="23">
        <v>11553</v>
      </c>
      <c r="U133" s="19">
        <f>SUM(V133:AC133)</f>
        <v>290849</v>
      </c>
      <c r="V133" s="23">
        <v>17057</v>
      </c>
      <c r="W133" s="23">
        <v>172493</v>
      </c>
      <c r="X133" s="23">
        <v>46780</v>
      </c>
      <c r="Y133" s="23">
        <v>49408</v>
      </c>
      <c r="Z133" s="23">
        <v>5111</v>
      </c>
      <c r="AA133" s="23">
        <v>0</v>
      </c>
      <c r="AB133" s="23">
        <v>0</v>
      </c>
      <c r="AC133" s="23">
        <v>0</v>
      </c>
      <c r="AD133" s="23">
        <v>0</v>
      </c>
      <c r="AE133" s="19">
        <f>SUM(AF133:AZ133)</f>
        <v>267682</v>
      </c>
      <c r="AF133" s="19">
        <v>0</v>
      </c>
      <c r="AG133" s="19">
        <v>0</v>
      </c>
      <c r="AH133" s="23">
        <v>7800</v>
      </c>
      <c r="AI133" s="23">
        <v>23451</v>
      </c>
      <c r="AJ133" s="23">
        <v>2145</v>
      </c>
      <c r="AK133" s="23">
        <v>2057</v>
      </c>
      <c r="AL133" s="23">
        <v>0</v>
      </c>
      <c r="AM133" s="23">
        <v>0</v>
      </c>
      <c r="AN133" s="23">
        <v>1510</v>
      </c>
      <c r="AO133" s="23">
        <v>0</v>
      </c>
      <c r="AP133" s="23">
        <v>0</v>
      </c>
      <c r="AQ133" s="23">
        <v>0</v>
      </c>
      <c r="AR133" s="23">
        <v>190385</v>
      </c>
      <c r="AS133" s="23">
        <v>28464</v>
      </c>
      <c r="AT133" s="23">
        <v>0</v>
      </c>
      <c r="AU133" s="23">
        <v>0</v>
      </c>
      <c r="AV133" s="23">
        <v>0</v>
      </c>
      <c r="AW133" s="23">
        <v>0</v>
      </c>
      <c r="AX133" s="23">
        <v>0</v>
      </c>
      <c r="AY133" s="23">
        <v>0</v>
      </c>
      <c r="AZ133" s="23">
        <v>11870</v>
      </c>
      <c r="BA133" s="19">
        <f>SUM(BB133+BF133+BI133+BK133+BN133)</f>
        <v>1352627</v>
      </c>
      <c r="BB133" s="19">
        <f>SUM(BC133:BE133)</f>
        <v>0</v>
      </c>
      <c r="BC133" s="19">
        <v>0</v>
      </c>
      <c r="BD133" s="19">
        <v>0</v>
      </c>
      <c r="BE133" s="19">
        <v>0</v>
      </c>
      <c r="BF133" s="19">
        <f>SUM(BH133:BH133)</f>
        <v>0</v>
      </c>
      <c r="BG133" s="19">
        <v>0</v>
      </c>
      <c r="BH133" s="19">
        <v>0</v>
      </c>
      <c r="BI133" s="19">
        <v>0</v>
      </c>
      <c r="BJ133" s="19">
        <v>0</v>
      </c>
      <c r="BK133" s="19">
        <f t="shared" si="112"/>
        <v>0</v>
      </c>
      <c r="BL133" s="19">
        <v>0</v>
      </c>
      <c r="BM133" s="19">
        <v>0</v>
      </c>
      <c r="BN133" s="19">
        <f>SUM(BO133:BY133)</f>
        <v>1352627</v>
      </c>
      <c r="BO133" s="19">
        <v>0</v>
      </c>
      <c r="BP133" s="19">
        <v>0</v>
      </c>
      <c r="BQ133" s="19">
        <v>0</v>
      </c>
      <c r="BR133" s="19">
        <v>0</v>
      </c>
      <c r="BS133" s="19">
        <v>0</v>
      </c>
      <c r="BT133" s="19"/>
      <c r="BU133" s="19">
        <v>0</v>
      </c>
      <c r="BV133" s="19">
        <v>0</v>
      </c>
      <c r="BW133" s="19">
        <v>0</v>
      </c>
      <c r="BX133" s="19">
        <v>0</v>
      </c>
      <c r="BY133" s="23">
        <v>1352627</v>
      </c>
      <c r="BZ133" s="19">
        <f>SUM(CA133+CO133)</f>
        <v>190505</v>
      </c>
      <c r="CA133" s="19">
        <f>SUM(CB133+CE133+CK133)</f>
        <v>190505</v>
      </c>
      <c r="CB133" s="19">
        <f t="shared" si="113"/>
        <v>190505</v>
      </c>
      <c r="CC133" s="19">
        <v>0</v>
      </c>
      <c r="CD133" s="23">
        <v>190505</v>
      </c>
      <c r="CE133" s="19">
        <f>SUM(CF133:CJ133)</f>
        <v>0</v>
      </c>
      <c r="CF133" s="19">
        <v>0</v>
      </c>
      <c r="CG133" s="19">
        <v>0</v>
      </c>
      <c r="CH133" s="19">
        <v>0</v>
      </c>
      <c r="CI133" s="19">
        <v>0</v>
      </c>
      <c r="CJ133" s="19">
        <v>0</v>
      </c>
      <c r="CK133" s="19">
        <f>SUM(CL133:CN133)</f>
        <v>0</v>
      </c>
      <c r="CL133" s="19"/>
      <c r="CM133" s="19">
        <v>0</v>
      </c>
      <c r="CN133" s="19"/>
      <c r="CO133" s="19">
        <v>0</v>
      </c>
      <c r="CP133" s="75"/>
      <c r="CQ133" s="75"/>
      <c r="CR133" s="75"/>
      <c r="CS133" s="19">
        <f t="shared" si="114"/>
        <v>0</v>
      </c>
      <c r="CT133" s="19">
        <f t="shared" si="115"/>
        <v>0</v>
      </c>
      <c r="CU133" s="19">
        <v>0</v>
      </c>
      <c r="CV133" s="20">
        <v>0</v>
      </c>
      <c r="CW133" s="52"/>
    </row>
    <row r="134" spans="1:101" ht="31.2" x14ac:dyDescent="0.3">
      <c r="A134" s="104" t="s">
        <v>208</v>
      </c>
      <c r="B134" s="16" t="s">
        <v>1</v>
      </c>
      <c r="C134" s="17" t="s">
        <v>209</v>
      </c>
      <c r="D134" s="18">
        <f t="shared" ref="D134:BQ134" si="276">SUM(D135:D137)</f>
        <v>2183553</v>
      </c>
      <c r="E134" s="18">
        <f t="shared" si="276"/>
        <v>2183553</v>
      </c>
      <c r="F134" s="18">
        <f t="shared" si="276"/>
        <v>2133113</v>
      </c>
      <c r="G134" s="18">
        <f t="shared" si="276"/>
        <v>1416758</v>
      </c>
      <c r="H134" s="18">
        <f t="shared" si="276"/>
        <v>339665</v>
      </c>
      <c r="I134" s="18">
        <f t="shared" si="276"/>
        <v>15156</v>
      </c>
      <c r="J134" s="18">
        <f t="shared" si="276"/>
        <v>0</v>
      </c>
      <c r="K134" s="18">
        <f t="shared" si="276"/>
        <v>0</v>
      </c>
      <c r="L134" s="18">
        <f t="shared" si="276"/>
        <v>0</v>
      </c>
      <c r="M134" s="18">
        <f t="shared" si="276"/>
        <v>0</v>
      </c>
      <c r="N134" s="18">
        <f t="shared" si="276"/>
        <v>0</v>
      </c>
      <c r="O134" s="18">
        <f t="shared" si="276"/>
        <v>15156</v>
      </c>
      <c r="P134" s="18">
        <f t="shared" si="276"/>
        <v>0</v>
      </c>
      <c r="Q134" s="18">
        <f t="shared" si="276"/>
        <v>0</v>
      </c>
      <c r="R134" s="18">
        <f t="shared" si="276"/>
        <v>0</v>
      </c>
      <c r="S134" s="18">
        <f t="shared" si="276"/>
        <v>0</v>
      </c>
      <c r="T134" s="18">
        <f t="shared" si="276"/>
        <v>8005</v>
      </c>
      <c r="U134" s="18">
        <f t="shared" si="276"/>
        <v>0</v>
      </c>
      <c r="V134" s="18">
        <f t="shared" si="276"/>
        <v>0</v>
      </c>
      <c r="W134" s="18">
        <f t="shared" si="276"/>
        <v>0</v>
      </c>
      <c r="X134" s="18">
        <f t="shared" si="276"/>
        <v>0</v>
      </c>
      <c r="Y134" s="18">
        <f t="shared" si="276"/>
        <v>0</v>
      </c>
      <c r="Z134" s="18">
        <f t="shared" si="276"/>
        <v>0</v>
      </c>
      <c r="AA134" s="18">
        <f t="shared" si="276"/>
        <v>0</v>
      </c>
      <c r="AB134" s="18">
        <f t="shared" si="276"/>
        <v>0</v>
      </c>
      <c r="AC134" s="18">
        <f t="shared" si="276"/>
        <v>0</v>
      </c>
      <c r="AD134" s="18">
        <f t="shared" si="276"/>
        <v>0</v>
      </c>
      <c r="AE134" s="18">
        <f t="shared" si="276"/>
        <v>353529</v>
      </c>
      <c r="AF134" s="18">
        <f t="shared" si="276"/>
        <v>0</v>
      </c>
      <c r="AG134" s="18">
        <f t="shared" si="276"/>
        <v>0</v>
      </c>
      <c r="AH134" s="18">
        <f t="shared" si="276"/>
        <v>0</v>
      </c>
      <c r="AI134" s="18">
        <f t="shared" si="276"/>
        <v>27582</v>
      </c>
      <c r="AJ134" s="18">
        <f t="shared" si="276"/>
        <v>0</v>
      </c>
      <c r="AK134" s="18">
        <f t="shared" si="276"/>
        <v>0</v>
      </c>
      <c r="AL134" s="18">
        <f t="shared" si="276"/>
        <v>0</v>
      </c>
      <c r="AM134" s="18">
        <f t="shared" si="276"/>
        <v>0</v>
      </c>
      <c r="AN134" s="18">
        <f t="shared" si="276"/>
        <v>117498</v>
      </c>
      <c r="AO134" s="18">
        <f t="shared" si="276"/>
        <v>0</v>
      </c>
      <c r="AP134" s="18">
        <f t="shared" si="276"/>
        <v>0</v>
      </c>
      <c r="AQ134" s="18">
        <f t="shared" si="276"/>
        <v>0</v>
      </c>
      <c r="AR134" s="18">
        <f t="shared" si="276"/>
        <v>0</v>
      </c>
      <c r="AS134" s="18">
        <f t="shared" si="276"/>
        <v>0</v>
      </c>
      <c r="AT134" s="18"/>
      <c r="AU134" s="18"/>
      <c r="AV134" s="18">
        <f t="shared" si="276"/>
        <v>0</v>
      </c>
      <c r="AW134" s="18">
        <f t="shared" si="276"/>
        <v>0</v>
      </c>
      <c r="AX134" s="18">
        <f t="shared" si="276"/>
        <v>0</v>
      </c>
      <c r="AY134" s="18"/>
      <c r="AZ134" s="18">
        <f t="shared" si="276"/>
        <v>208449</v>
      </c>
      <c r="BA134" s="18">
        <f t="shared" si="276"/>
        <v>50440</v>
      </c>
      <c r="BB134" s="18">
        <f t="shared" si="276"/>
        <v>0</v>
      </c>
      <c r="BC134" s="18">
        <f t="shared" si="276"/>
        <v>0</v>
      </c>
      <c r="BD134" s="18">
        <f t="shared" si="276"/>
        <v>0</v>
      </c>
      <c r="BE134" s="18">
        <f t="shared" si="276"/>
        <v>0</v>
      </c>
      <c r="BF134" s="18">
        <f t="shared" si="276"/>
        <v>0</v>
      </c>
      <c r="BG134" s="18">
        <f t="shared" si="276"/>
        <v>0</v>
      </c>
      <c r="BH134" s="18">
        <f t="shared" si="276"/>
        <v>0</v>
      </c>
      <c r="BI134" s="18">
        <f t="shared" si="276"/>
        <v>0</v>
      </c>
      <c r="BJ134" s="18">
        <f t="shared" ref="BJ134" si="277">SUM(BJ135:BJ137)</f>
        <v>0</v>
      </c>
      <c r="BK134" s="18">
        <f t="shared" si="276"/>
        <v>0</v>
      </c>
      <c r="BL134" s="18">
        <f t="shared" si="276"/>
        <v>0</v>
      </c>
      <c r="BM134" s="18">
        <f t="shared" ref="BM134" si="278">SUM(BM135:BM137)</f>
        <v>0</v>
      </c>
      <c r="BN134" s="18">
        <f t="shared" si="276"/>
        <v>50440</v>
      </c>
      <c r="BO134" s="18">
        <f t="shared" si="276"/>
        <v>0</v>
      </c>
      <c r="BP134" s="18">
        <f t="shared" si="276"/>
        <v>0</v>
      </c>
      <c r="BQ134" s="18">
        <f t="shared" si="276"/>
        <v>50440</v>
      </c>
      <c r="BR134" s="18">
        <f t="shared" ref="BR134:CV134" si="279">SUM(BR135:BR137)</f>
        <v>0</v>
      </c>
      <c r="BS134" s="18">
        <f t="shared" si="279"/>
        <v>0</v>
      </c>
      <c r="BT134" s="18">
        <f t="shared" si="279"/>
        <v>0</v>
      </c>
      <c r="BU134" s="18">
        <f t="shared" si="279"/>
        <v>0</v>
      </c>
      <c r="BV134" s="18">
        <f t="shared" si="279"/>
        <v>0</v>
      </c>
      <c r="BW134" s="18">
        <f t="shared" si="279"/>
        <v>0</v>
      </c>
      <c r="BX134" s="18">
        <f t="shared" si="279"/>
        <v>0</v>
      </c>
      <c r="BY134" s="18">
        <f t="shared" si="279"/>
        <v>0</v>
      </c>
      <c r="BZ134" s="18">
        <f t="shared" si="279"/>
        <v>0</v>
      </c>
      <c r="CA134" s="18">
        <f t="shared" si="279"/>
        <v>0</v>
      </c>
      <c r="CB134" s="18">
        <f t="shared" si="279"/>
        <v>0</v>
      </c>
      <c r="CC134" s="18">
        <f t="shared" si="279"/>
        <v>0</v>
      </c>
      <c r="CD134" s="18">
        <f t="shared" si="279"/>
        <v>0</v>
      </c>
      <c r="CE134" s="18">
        <f t="shared" si="279"/>
        <v>0</v>
      </c>
      <c r="CF134" s="18">
        <f t="shared" si="279"/>
        <v>0</v>
      </c>
      <c r="CG134" s="18">
        <f t="shared" ref="CG134:CH134" si="280">SUM(CG135:CG137)</f>
        <v>0</v>
      </c>
      <c r="CH134" s="18">
        <f t="shared" si="280"/>
        <v>0</v>
      </c>
      <c r="CI134" s="18">
        <f t="shared" si="279"/>
        <v>0</v>
      </c>
      <c r="CJ134" s="18">
        <f t="shared" ref="CJ134" si="281">SUM(CJ135:CJ137)</f>
        <v>0</v>
      </c>
      <c r="CK134" s="18">
        <f t="shared" si="279"/>
        <v>0</v>
      </c>
      <c r="CL134" s="18">
        <f t="shared" ref="CL134" si="282">SUM(CL135:CL137)</f>
        <v>0</v>
      </c>
      <c r="CM134" s="18">
        <f t="shared" si="279"/>
        <v>0</v>
      </c>
      <c r="CN134" s="18"/>
      <c r="CO134" s="18">
        <f t="shared" si="279"/>
        <v>0</v>
      </c>
      <c r="CP134" s="74"/>
      <c r="CQ134" s="74"/>
      <c r="CR134" s="74"/>
      <c r="CS134" s="18">
        <f t="shared" si="279"/>
        <v>0</v>
      </c>
      <c r="CT134" s="18">
        <f t="shared" si="279"/>
        <v>0</v>
      </c>
      <c r="CU134" s="18">
        <f t="shared" si="279"/>
        <v>0</v>
      </c>
      <c r="CV134" s="46">
        <f t="shared" si="279"/>
        <v>0</v>
      </c>
      <c r="CW134" s="57"/>
    </row>
    <row r="135" spans="1:101" ht="31.2" x14ac:dyDescent="0.3">
      <c r="A135" s="105" t="s">
        <v>1</v>
      </c>
      <c r="B135" s="21" t="s">
        <v>56</v>
      </c>
      <c r="C135" s="22" t="s">
        <v>210</v>
      </c>
      <c r="D135" s="19">
        <f>SUM(E135+BZ135+CS135)</f>
        <v>65755</v>
      </c>
      <c r="E135" s="19">
        <f>SUM(F135+BA135)</f>
        <v>65755</v>
      </c>
      <c r="F135" s="19">
        <f>SUM(G135+H135+I135+P135+S135+T135+U135+AE135+AD135)</f>
        <v>65755</v>
      </c>
      <c r="G135" s="23">
        <v>0</v>
      </c>
      <c r="H135" s="23">
        <v>0</v>
      </c>
      <c r="I135" s="19">
        <f t="shared" si="110"/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f t="shared" si="111"/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f t="shared" ref="U135:U137" si="283">SUM(V135:AC135)</f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f>SUM(AF135:AZ135)</f>
        <v>65755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23">
        <v>6500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23">
        <v>59255</v>
      </c>
      <c r="BA135" s="19">
        <f>SUM(BB135+BF135+BI135+BK135+BN135)</f>
        <v>0</v>
      </c>
      <c r="BB135" s="19">
        <f>SUM(BC135:BE135)</f>
        <v>0</v>
      </c>
      <c r="BC135" s="19">
        <v>0</v>
      </c>
      <c r="BD135" s="19">
        <v>0</v>
      </c>
      <c r="BE135" s="19">
        <v>0</v>
      </c>
      <c r="BF135" s="19">
        <f>SUM(BH135:BH135)</f>
        <v>0</v>
      </c>
      <c r="BG135" s="19">
        <v>0</v>
      </c>
      <c r="BH135" s="19">
        <v>0</v>
      </c>
      <c r="BI135" s="19">
        <v>0</v>
      </c>
      <c r="BJ135" s="19">
        <v>0</v>
      </c>
      <c r="BK135" s="19">
        <f t="shared" si="112"/>
        <v>0</v>
      </c>
      <c r="BL135" s="19">
        <v>0</v>
      </c>
      <c r="BM135" s="19">
        <v>0</v>
      </c>
      <c r="BN135" s="19">
        <f>SUM(BO135:BY135)</f>
        <v>0</v>
      </c>
      <c r="BO135" s="19">
        <v>0</v>
      </c>
      <c r="BP135" s="19">
        <v>0</v>
      </c>
      <c r="BQ135" s="19">
        <v>0</v>
      </c>
      <c r="BR135" s="19">
        <v>0</v>
      </c>
      <c r="BS135" s="19">
        <v>0</v>
      </c>
      <c r="BT135" s="19">
        <v>0</v>
      </c>
      <c r="BU135" s="19">
        <v>0</v>
      </c>
      <c r="BV135" s="19">
        <v>0</v>
      </c>
      <c r="BW135" s="19">
        <v>0</v>
      </c>
      <c r="BX135" s="19">
        <v>0</v>
      </c>
      <c r="BY135" s="19">
        <v>0</v>
      </c>
      <c r="BZ135" s="19">
        <f>SUM(CA135+CO135)</f>
        <v>0</v>
      </c>
      <c r="CA135" s="19">
        <f>SUM(CB135+CE135+CK135)</f>
        <v>0</v>
      </c>
      <c r="CB135" s="19">
        <f t="shared" si="113"/>
        <v>0</v>
      </c>
      <c r="CC135" s="19">
        <v>0</v>
      </c>
      <c r="CD135" s="19">
        <v>0</v>
      </c>
      <c r="CE135" s="19">
        <f>SUM(CF135:CJ135)</f>
        <v>0</v>
      </c>
      <c r="CF135" s="19">
        <v>0</v>
      </c>
      <c r="CG135" s="19">
        <v>0</v>
      </c>
      <c r="CH135" s="19">
        <v>0</v>
      </c>
      <c r="CI135" s="19">
        <v>0</v>
      </c>
      <c r="CJ135" s="19">
        <v>0</v>
      </c>
      <c r="CK135" s="19">
        <f>SUM(CL135:CN135)</f>
        <v>0</v>
      </c>
      <c r="CL135" s="19">
        <v>0</v>
      </c>
      <c r="CM135" s="19">
        <v>0</v>
      </c>
      <c r="CN135" s="19"/>
      <c r="CO135" s="19">
        <v>0</v>
      </c>
      <c r="CP135" s="75"/>
      <c r="CQ135" s="75"/>
      <c r="CR135" s="75"/>
      <c r="CS135" s="19">
        <f t="shared" si="114"/>
        <v>0</v>
      </c>
      <c r="CT135" s="19">
        <f t="shared" si="115"/>
        <v>0</v>
      </c>
      <c r="CU135" s="19">
        <v>0</v>
      </c>
      <c r="CV135" s="20">
        <v>0</v>
      </c>
      <c r="CW135" s="52"/>
    </row>
    <row r="136" spans="1:101" ht="15.6" x14ac:dyDescent="0.3">
      <c r="A136" s="105" t="s">
        <v>1</v>
      </c>
      <c r="B136" s="21" t="s">
        <v>60</v>
      </c>
      <c r="C136" s="22" t="s">
        <v>211</v>
      </c>
      <c r="D136" s="19">
        <f>SUM(E136+BZ136+CS136)</f>
        <v>1141941</v>
      </c>
      <c r="E136" s="19">
        <f>SUM(F136+BA136)</f>
        <v>1141941</v>
      </c>
      <c r="F136" s="19">
        <f>SUM(G136+H136+I136+P136+S136+T136+U136+AE136+AD136)</f>
        <v>1141941</v>
      </c>
      <c r="G136" s="23">
        <v>884578</v>
      </c>
      <c r="H136" s="23">
        <v>206620</v>
      </c>
      <c r="I136" s="19">
        <f>SUM(J136:O136)</f>
        <v>15156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15156</v>
      </c>
      <c r="P136" s="19">
        <f>SUM(Q136:R136)</f>
        <v>0</v>
      </c>
      <c r="Q136" s="19"/>
      <c r="R136" s="19">
        <v>0</v>
      </c>
      <c r="S136" s="19">
        <v>0</v>
      </c>
      <c r="T136" s="19">
        <v>8005</v>
      </c>
      <c r="U136" s="19">
        <f t="shared" si="283"/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f>SUM(AF136:AZ136)</f>
        <v>27582</v>
      </c>
      <c r="AF136" s="19">
        <v>0</v>
      </c>
      <c r="AG136" s="19">
        <v>0</v>
      </c>
      <c r="AH136" s="19">
        <v>0</v>
      </c>
      <c r="AI136" s="19">
        <v>27582</v>
      </c>
      <c r="AJ136" s="19"/>
      <c r="AK136" s="19">
        <v>0</v>
      </c>
      <c r="AL136" s="19">
        <v>0</v>
      </c>
      <c r="AM136" s="19">
        <v>0</v>
      </c>
      <c r="AN136" s="23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23">
        <v>0</v>
      </c>
      <c r="BA136" s="19">
        <f>SUM(BB136+BF136+BI136+BK136+BN136)</f>
        <v>0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>SUM(BL136)</f>
        <v>0</v>
      </c>
      <c r="BL136" s="19">
        <v>0</v>
      </c>
      <c r="BM136" s="19">
        <v>0</v>
      </c>
      <c r="BN136" s="19">
        <f>SUM(BO136:BY136)</f>
        <v>0</v>
      </c>
      <c r="BO136" s="19"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19">
        <v>0</v>
      </c>
      <c r="BZ136" s="19">
        <f>SUM(CA136+CO136)</f>
        <v>0</v>
      </c>
      <c r="CA136" s="19">
        <f>SUM(CB136+CE136+CK136)</f>
        <v>0</v>
      </c>
      <c r="CB136" s="19">
        <f>SUM(CC136:CD136)</f>
        <v>0</v>
      </c>
      <c r="CC136" s="19">
        <v>0</v>
      </c>
      <c r="CD136" s="19"/>
      <c r="CE136" s="19">
        <f>SUM(CF136:CJ136)</f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SUM(CL136:CN136)</f>
        <v>0</v>
      </c>
      <c r="CL136" s="19">
        <v>0</v>
      </c>
      <c r="CM136" s="19">
        <v>0</v>
      </c>
      <c r="CN136" s="19"/>
      <c r="CO136" s="19">
        <v>0</v>
      </c>
      <c r="CP136" s="75"/>
      <c r="CQ136" s="75"/>
      <c r="CR136" s="75"/>
      <c r="CS136" s="19">
        <f>SUM(CT136)</f>
        <v>0</v>
      </c>
      <c r="CT136" s="19">
        <f>SUM(CU136:CV136)</f>
        <v>0</v>
      </c>
      <c r="CU136" s="19">
        <v>0</v>
      </c>
      <c r="CV136" s="20">
        <v>0</v>
      </c>
      <c r="CW136" s="52"/>
    </row>
    <row r="137" spans="1:101" s="58" customFormat="1" ht="15.6" x14ac:dyDescent="0.3">
      <c r="A137" s="105" t="s">
        <v>1</v>
      </c>
      <c r="B137" s="21" t="s">
        <v>60</v>
      </c>
      <c r="C137" s="22" t="s">
        <v>212</v>
      </c>
      <c r="D137" s="19">
        <f>SUM(E137+BZ137+CS137)</f>
        <v>975857</v>
      </c>
      <c r="E137" s="19">
        <f>SUM(F137+BA137)</f>
        <v>975857</v>
      </c>
      <c r="F137" s="19">
        <f>SUM(G137+H137+I137+P137+S137+T137+U137+AE137+AD137)</f>
        <v>925417</v>
      </c>
      <c r="G137" s="23">
        <v>532180</v>
      </c>
      <c r="H137" s="23">
        <v>133045</v>
      </c>
      <c r="I137" s="19">
        <f t="shared" si="110"/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f t="shared" si="111"/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f t="shared" si="283"/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f>SUM(AF137:AZ137)</f>
        <v>260192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23">
        <v>110998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23">
        <v>149194</v>
      </c>
      <c r="BA137" s="19">
        <f>SUM(BB137+BF137+BI137+BK137+BN137)</f>
        <v>50440</v>
      </c>
      <c r="BB137" s="19">
        <f>SUM(BC137:BE137)</f>
        <v>0</v>
      </c>
      <c r="BC137" s="19">
        <v>0</v>
      </c>
      <c r="BD137" s="19">
        <v>0</v>
      </c>
      <c r="BE137" s="19">
        <v>0</v>
      </c>
      <c r="BF137" s="19">
        <f>SUM(BH137:BH137)</f>
        <v>0</v>
      </c>
      <c r="BG137" s="19">
        <v>0</v>
      </c>
      <c r="BH137" s="19">
        <v>0</v>
      </c>
      <c r="BI137" s="19">
        <v>0</v>
      </c>
      <c r="BJ137" s="19">
        <v>0</v>
      </c>
      <c r="BK137" s="19">
        <f t="shared" si="112"/>
        <v>0</v>
      </c>
      <c r="BL137" s="19">
        <v>0</v>
      </c>
      <c r="BM137" s="19">
        <v>0</v>
      </c>
      <c r="BN137" s="19">
        <f>SUM(BO137:BY137)</f>
        <v>50440</v>
      </c>
      <c r="BO137" s="19">
        <v>0</v>
      </c>
      <c r="BP137" s="19">
        <v>0</v>
      </c>
      <c r="BQ137" s="19">
        <v>50440</v>
      </c>
      <c r="BR137" s="19">
        <v>0</v>
      </c>
      <c r="BS137" s="19">
        <v>0</v>
      </c>
      <c r="BT137" s="19">
        <v>0</v>
      </c>
      <c r="BU137" s="19">
        <v>0</v>
      </c>
      <c r="BV137" s="19">
        <v>0</v>
      </c>
      <c r="BW137" s="19">
        <v>0</v>
      </c>
      <c r="BX137" s="19">
        <v>0</v>
      </c>
      <c r="BY137" s="19">
        <v>0</v>
      </c>
      <c r="BZ137" s="19">
        <f>SUM(CA137+CO137)</f>
        <v>0</v>
      </c>
      <c r="CA137" s="19">
        <f>SUM(CB137+CE137+CK137)</f>
        <v>0</v>
      </c>
      <c r="CB137" s="19">
        <f t="shared" si="113"/>
        <v>0</v>
      </c>
      <c r="CC137" s="19">
        <v>0</v>
      </c>
      <c r="CD137" s="19">
        <v>0</v>
      </c>
      <c r="CE137" s="19">
        <f>SUM(CF137:CJ137)</f>
        <v>0</v>
      </c>
      <c r="CF137" s="19">
        <v>0</v>
      </c>
      <c r="CG137" s="19">
        <v>0</v>
      </c>
      <c r="CH137" s="19">
        <v>0</v>
      </c>
      <c r="CI137" s="19">
        <v>0</v>
      </c>
      <c r="CJ137" s="19">
        <v>0</v>
      </c>
      <c r="CK137" s="19">
        <f>SUM(CL137:CN137)</f>
        <v>0</v>
      </c>
      <c r="CL137" s="19">
        <v>0</v>
      </c>
      <c r="CM137" s="19">
        <v>0</v>
      </c>
      <c r="CN137" s="19"/>
      <c r="CO137" s="19">
        <v>0</v>
      </c>
      <c r="CP137" s="75"/>
      <c r="CQ137" s="75"/>
      <c r="CR137" s="75"/>
      <c r="CS137" s="19">
        <f t="shared" si="114"/>
        <v>0</v>
      </c>
      <c r="CT137" s="19">
        <f t="shared" si="115"/>
        <v>0</v>
      </c>
      <c r="CU137" s="19">
        <v>0</v>
      </c>
      <c r="CV137" s="20">
        <v>0</v>
      </c>
      <c r="CW137" s="52"/>
    </row>
    <row r="138" spans="1:101" s="58" customFormat="1" ht="31.2" x14ac:dyDescent="0.3">
      <c r="A138" s="106" t="s">
        <v>213</v>
      </c>
      <c r="B138" s="25" t="s">
        <v>1</v>
      </c>
      <c r="C138" s="26" t="s">
        <v>214</v>
      </c>
      <c r="D138" s="27">
        <f>SUM(D139+D143+D146)</f>
        <v>31361673</v>
      </c>
      <c r="E138" s="27">
        <f t="shared" ref="E138:BT138" si="284">SUM(E139+E143+E146)</f>
        <v>30878778</v>
      </c>
      <c r="F138" s="27">
        <f t="shared" si="284"/>
        <v>30371274</v>
      </c>
      <c r="G138" s="27">
        <f t="shared" si="284"/>
        <v>21811552</v>
      </c>
      <c r="H138" s="27">
        <f t="shared" si="284"/>
        <v>5138707</v>
      </c>
      <c r="I138" s="27">
        <f t="shared" si="284"/>
        <v>858445</v>
      </c>
      <c r="J138" s="27">
        <f t="shared" si="284"/>
        <v>17702</v>
      </c>
      <c r="K138" s="27">
        <f t="shared" si="284"/>
        <v>70000</v>
      </c>
      <c r="L138" s="27">
        <f t="shared" si="284"/>
        <v>0</v>
      </c>
      <c r="M138" s="27">
        <f t="shared" si="284"/>
        <v>0</v>
      </c>
      <c r="N138" s="27">
        <f t="shared" si="284"/>
        <v>525635</v>
      </c>
      <c r="O138" s="27">
        <f t="shared" si="284"/>
        <v>245108</v>
      </c>
      <c r="P138" s="27">
        <f t="shared" si="284"/>
        <v>0</v>
      </c>
      <c r="Q138" s="27">
        <f t="shared" si="284"/>
        <v>0</v>
      </c>
      <c r="R138" s="27">
        <f t="shared" si="284"/>
        <v>0</v>
      </c>
      <c r="S138" s="27">
        <f t="shared" si="284"/>
        <v>0</v>
      </c>
      <c r="T138" s="27">
        <f t="shared" si="284"/>
        <v>97232</v>
      </c>
      <c r="U138" s="27">
        <f t="shared" si="284"/>
        <v>658728</v>
      </c>
      <c r="V138" s="27">
        <f t="shared" si="284"/>
        <v>13238</v>
      </c>
      <c r="W138" s="27">
        <f t="shared" si="284"/>
        <v>429139</v>
      </c>
      <c r="X138" s="27">
        <f t="shared" si="284"/>
        <v>155928</v>
      </c>
      <c r="Y138" s="27">
        <f t="shared" si="284"/>
        <v>51444</v>
      </c>
      <c r="Z138" s="27">
        <f t="shared" si="284"/>
        <v>4512</v>
      </c>
      <c r="AA138" s="27">
        <f t="shared" si="284"/>
        <v>0</v>
      </c>
      <c r="AB138" s="27">
        <f t="shared" si="284"/>
        <v>0</v>
      </c>
      <c r="AC138" s="27">
        <f t="shared" si="284"/>
        <v>4467</v>
      </c>
      <c r="AD138" s="27">
        <f t="shared" si="284"/>
        <v>0</v>
      </c>
      <c r="AE138" s="27">
        <f t="shared" si="284"/>
        <v>1806610</v>
      </c>
      <c r="AF138" s="27">
        <f t="shared" si="284"/>
        <v>0</v>
      </c>
      <c r="AG138" s="27">
        <f t="shared" si="284"/>
        <v>0</v>
      </c>
      <c r="AH138" s="27">
        <f t="shared" si="284"/>
        <v>6598</v>
      </c>
      <c r="AI138" s="27">
        <f t="shared" si="284"/>
        <v>0</v>
      </c>
      <c r="AJ138" s="27">
        <f t="shared" si="284"/>
        <v>0</v>
      </c>
      <c r="AK138" s="27">
        <f t="shared" si="284"/>
        <v>0</v>
      </c>
      <c r="AL138" s="27">
        <f t="shared" si="284"/>
        <v>0</v>
      </c>
      <c r="AM138" s="27">
        <f t="shared" si="284"/>
        <v>430</v>
      </c>
      <c r="AN138" s="27">
        <f t="shared" si="284"/>
        <v>2414</v>
      </c>
      <c r="AO138" s="27">
        <f t="shared" si="284"/>
        <v>0</v>
      </c>
      <c r="AP138" s="27">
        <f t="shared" si="284"/>
        <v>0</v>
      </c>
      <c r="AQ138" s="27">
        <f t="shared" si="284"/>
        <v>0</v>
      </c>
      <c r="AR138" s="27">
        <f t="shared" si="284"/>
        <v>315811</v>
      </c>
      <c r="AS138" s="27">
        <f t="shared" si="284"/>
        <v>24000</v>
      </c>
      <c r="AT138" s="27"/>
      <c r="AU138" s="27"/>
      <c r="AV138" s="27">
        <f t="shared" si="284"/>
        <v>0</v>
      </c>
      <c r="AW138" s="27">
        <f t="shared" si="284"/>
        <v>0</v>
      </c>
      <c r="AX138" s="27">
        <f t="shared" si="284"/>
        <v>27284</v>
      </c>
      <c r="AY138" s="27"/>
      <c r="AZ138" s="27">
        <f t="shared" si="284"/>
        <v>1430073</v>
      </c>
      <c r="BA138" s="27">
        <f t="shared" si="284"/>
        <v>507504</v>
      </c>
      <c r="BB138" s="27">
        <f t="shared" si="284"/>
        <v>0</v>
      </c>
      <c r="BC138" s="27">
        <f t="shared" si="284"/>
        <v>0</v>
      </c>
      <c r="BD138" s="27">
        <f t="shared" si="284"/>
        <v>0</v>
      </c>
      <c r="BE138" s="27">
        <f t="shared" si="284"/>
        <v>0</v>
      </c>
      <c r="BF138" s="27">
        <f t="shared" si="284"/>
        <v>0</v>
      </c>
      <c r="BG138" s="27">
        <f t="shared" si="284"/>
        <v>0</v>
      </c>
      <c r="BH138" s="27">
        <f t="shared" si="284"/>
        <v>0</v>
      </c>
      <c r="BI138" s="27">
        <f t="shared" si="284"/>
        <v>0</v>
      </c>
      <c r="BJ138" s="27">
        <f t="shared" ref="BJ138" si="285">SUM(BJ139+BJ143+BJ146)</f>
        <v>0</v>
      </c>
      <c r="BK138" s="27">
        <f t="shared" si="284"/>
        <v>0</v>
      </c>
      <c r="BL138" s="27">
        <f t="shared" si="284"/>
        <v>0</v>
      </c>
      <c r="BM138" s="27">
        <f t="shared" ref="BM138" si="286">SUM(BM139+BM143+BM146)</f>
        <v>0</v>
      </c>
      <c r="BN138" s="27">
        <f t="shared" si="284"/>
        <v>507504</v>
      </c>
      <c r="BO138" s="27">
        <f t="shared" si="284"/>
        <v>0</v>
      </c>
      <c r="BP138" s="27">
        <f t="shared" si="284"/>
        <v>0</v>
      </c>
      <c r="BQ138" s="27">
        <f t="shared" si="284"/>
        <v>507504</v>
      </c>
      <c r="BR138" s="27">
        <f t="shared" si="284"/>
        <v>0</v>
      </c>
      <c r="BS138" s="27">
        <f t="shared" si="284"/>
        <v>0</v>
      </c>
      <c r="BT138" s="27">
        <f t="shared" si="284"/>
        <v>0</v>
      </c>
      <c r="BU138" s="27">
        <f t="shared" ref="BU138:CV138" si="287">SUM(BU139+BU143+BU146)</f>
        <v>0</v>
      </c>
      <c r="BV138" s="27">
        <f t="shared" si="287"/>
        <v>0</v>
      </c>
      <c r="BW138" s="27">
        <f t="shared" si="287"/>
        <v>0</v>
      </c>
      <c r="BX138" s="27">
        <f t="shared" si="287"/>
        <v>0</v>
      </c>
      <c r="BY138" s="27">
        <f t="shared" si="287"/>
        <v>0</v>
      </c>
      <c r="BZ138" s="27">
        <f t="shared" si="287"/>
        <v>482895</v>
      </c>
      <c r="CA138" s="27">
        <f t="shared" si="287"/>
        <v>482895</v>
      </c>
      <c r="CB138" s="27">
        <f t="shared" si="287"/>
        <v>482895</v>
      </c>
      <c r="CC138" s="27">
        <f t="shared" si="287"/>
        <v>0</v>
      </c>
      <c r="CD138" s="27">
        <f t="shared" si="287"/>
        <v>482895</v>
      </c>
      <c r="CE138" s="27">
        <f t="shared" si="287"/>
        <v>0</v>
      </c>
      <c r="CF138" s="27">
        <f t="shared" si="287"/>
        <v>0</v>
      </c>
      <c r="CG138" s="27">
        <f t="shared" ref="CG138:CH138" si="288">SUM(CG139+CG143+CG146)</f>
        <v>0</v>
      </c>
      <c r="CH138" s="27">
        <f t="shared" si="288"/>
        <v>0</v>
      </c>
      <c r="CI138" s="27">
        <f t="shared" si="287"/>
        <v>0</v>
      </c>
      <c r="CJ138" s="27">
        <f t="shared" ref="CJ138" si="289">SUM(CJ139+CJ143+CJ146)</f>
        <v>0</v>
      </c>
      <c r="CK138" s="27">
        <f t="shared" si="287"/>
        <v>0</v>
      </c>
      <c r="CL138" s="27">
        <f t="shared" ref="CL138" si="290">SUM(CL139+CL143+CL146)</f>
        <v>0</v>
      </c>
      <c r="CM138" s="27">
        <f t="shared" si="287"/>
        <v>0</v>
      </c>
      <c r="CN138" s="27"/>
      <c r="CO138" s="27">
        <f t="shared" si="287"/>
        <v>0</v>
      </c>
      <c r="CP138" s="27">
        <f t="shared" si="287"/>
        <v>0</v>
      </c>
      <c r="CQ138" s="27">
        <f t="shared" si="287"/>
        <v>0</v>
      </c>
      <c r="CR138" s="27">
        <f t="shared" si="287"/>
        <v>0</v>
      </c>
      <c r="CS138" s="27">
        <f t="shared" si="287"/>
        <v>0</v>
      </c>
      <c r="CT138" s="27">
        <f t="shared" si="287"/>
        <v>0</v>
      </c>
      <c r="CU138" s="27">
        <f t="shared" si="287"/>
        <v>0</v>
      </c>
      <c r="CV138" s="60">
        <f t="shared" si="287"/>
        <v>0</v>
      </c>
      <c r="CW138" s="57"/>
    </row>
    <row r="139" spans="1:101" ht="31.2" x14ac:dyDescent="0.3">
      <c r="A139" s="104" t="s">
        <v>215</v>
      </c>
      <c r="B139" s="16" t="s">
        <v>1</v>
      </c>
      <c r="C139" s="17" t="s">
        <v>216</v>
      </c>
      <c r="D139" s="18">
        <f>SUM(D140:D142)</f>
        <v>16948211</v>
      </c>
      <c r="E139" s="18">
        <f t="shared" ref="E139:BT139" si="291">SUM(E140:E142)</f>
        <v>16948211</v>
      </c>
      <c r="F139" s="18">
        <f t="shared" si="291"/>
        <v>16948211</v>
      </c>
      <c r="G139" s="18">
        <f t="shared" si="291"/>
        <v>13124783</v>
      </c>
      <c r="H139" s="18">
        <f t="shared" si="291"/>
        <v>3088788</v>
      </c>
      <c r="I139" s="18">
        <f t="shared" si="291"/>
        <v>96772</v>
      </c>
      <c r="J139" s="18">
        <f t="shared" si="291"/>
        <v>0</v>
      </c>
      <c r="K139" s="18">
        <f t="shared" si="291"/>
        <v>0</v>
      </c>
      <c r="L139" s="18">
        <f t="shared" si="291"/>
        <v>0</v>
      </c>
      <c r="M139" s="18">
        <f t="shared" si="291"/>
        <v>0</v>
      </c>
      <c r="N139" s="18">
        <f t="shared" si="291"/>
        <v>50000</v>
      </c>
      <c r="O139" s="18">
        <f t="shared" si="291"/>
        <v>46772</v>
      </c>
      <c r="P139" s="18">
        <f t="shared" si="291"/>
        <v>0</v>
      </c>
      <c r="Q139" s="18">
        <f t="shared" si="291"/>
        <v>0</v>
      </c>
      <c r="R139" s="18">
        <f t="shared" si="291"/>
        <v>0</v>
      </c>
      <c r="S139" s="18">
        <f t="shared" si="291"/>
        <v>0</v>
      </c>
      <c r="T139" s="18">
        <f t="shared" si="291"/>
        <v>33910</v>
      </c>
      <c r="U139" s="18">
        <f t="shared" si="291"/>
        <v>379713</v>
      </c>
      <c r="V139" s="18">
        <f t="shared" si="291"/>
        <v>8238</v>
      </c>
      <c r="W139" s="18">
        <f t="shared" si="291"/>
        <v>246360</v>
      </c>
      <c r="X139" s="18">
        <f t="shared" si="291"/>
        <v>91881</v>
      </c>
      <c r="Y139" s="18">
        <f t="shared" si="291"/>
        <v>24255</v>
      </c>
      <c r="Z139" s="18">
        <f t="shared" si="291"/>
        <v>4512</v>
      </c>
      <c r="AA139" s="18">
        <f t="shared" si="291"/>
        <v>0</v>
      </c>
      <c r="AB139" s="18">
        <f t="shared" si="291"/>
        <v>0</v>
      </c>
      <c r="AC139" s="18">
        <f t="shared" si="291"/>
        <v>4467</v>
      </c>
      <c r="AD139" s="18">
        <f t="shared" si="291"/>
        <v>0</v>
      </c>
      <c r="AE139" s="18">
        <f t="shared" si="291"/>
        <v>224245</v>
      </c>
      <c r="AF139" s="18">
        <f t="shared" si="291"/>
        <v>0</v>
      </c>
      <c r="AG139" s="18">
        <f t="shared" si="291"/>
        <v>0</v>
      </c>
      <c r="AH139" s="18">
        <f t="shared" si="291"/>
        <v>6598</v>
      </c>
      <c r="AI139" s="18">
        <f t="shared" si="291"/>
        <v>0</v>
      </c>
      <c r="AJ139" s="18">
        <f t="shared" si="291"/>
        <v>0</v>
      </c>
      <c r="AK139" s="18">
        <f t="shared" si="291"/>
        <v>0</v>
      </c>
      <c r="AL139" s="18">
        <f t="shared" si="291"/>
        <v>0</v>
      </c>
      <c r="AM139" s="18">
        <f t="shared" si="291"/>
        <v>0</v>
      </c>
      <c r="AN139" s="18">
        <f t="shared" si="291"/>
        <v>0</v>
      </c>
      <c r="AO139" s="18">
        <f t="shared" si="291"/>
        <v>0</v>
      </c>
      <c r="AP139" s="18">
        <f t="shared" si="291"/>
        <v>0</v>
      </c>
      <c r="AQ139" s="18">
        <f t="shared" si="291"/>
        <v>0</v>
      </c>
      <c r="AR139" s="18">
        <f t="shared" si="291"/>
        <v>190363</v>
      </c>
      <c r="AS139" s="18">
        <f t="shared" si="291"/>
        <v>0</v>
      </c>
      <c r="AT139" s="18"/>
      <c r="AU139" s="18"/>
      <c r="AV139" s="18">
        <f t="shared" si="291"/>
        <v>0</v>
      </c>
      <c r="AW139" s="18">
        <f t="shared" si="291"/>
        <v>0</v>
      </c>
      <c r="AX139" s="18">
        <f t="shared" si="291"/>
        <v>27284</v>
      </c>
      <c r="AY139" s="18"/>
      <c r="AZ139" s="18">
        <f t="shared" si="291"/>
        <v>0</v>
      </c>
      <c r="BA139" s="18">
        <f t="shared" si="291"/>
        <v>0</v>
      </c>
      <c r="BB139" s="18">
        <f t="shared" si="291"/>
        <v>0</v>
      </c>
      <c r="BC139" s="18">
        <f t="shared" si="291"/>
        <v>0</v>
      </c>
      <c r="BD139" s="18">
        <f t="shared" si="291"/>
        <v>0</v>
      </c>
      <c r="BE139" s="18">
        <f t="shared" si="291"/>
        <v>0</v>
      </c>
      <c r="BF139" s="18">
        <f t="shared" si="291"/>
        <v>0</v>
      </c>
      <c r="BG139" s="18">
        <f t="shared" si="291"/>
        <v>0</v>
      </c>
      <c r="BH139" s="18">
        <f t="shared" si="291"/>
        <v>0</v>
      </c>
      <c r="BI139" s="18">
        <f t="shared" si="291"/>
        <v>0</v>
      </c>
      <c r="BJ139" s="18">
        <f t="shared" ref="BJ139" si="292">SUM(BJ140:BJ142)</f>
        <v>0</v>
      </c>
      <c r="BK139" s="18">
        <f t="shared" si="291"/>
        <v>0</v>
      </c>
      <c r="BL139" s="18">
        <f t="shared" si="291"/>
        <v>0</v>
      </c>
      <c r="BM139" s="18">
        <f t="shared" ref="BM139" si="293">SUM(BM140:BM142)</f>
        <v>0</v>
      </c>
      <c r="BN139" s="18">
        <f t="shared" si="291"/>
        <v>0</v>
      </c>
      <c r="BO139" s="18">
        <f t="shared" si="291"/>
        <v>0</v>
      </c>
      <c r="BP139" s="18">
        <f t="shared" si="291"/>
        <v>0</v>
      </c>
      <c r="BQ139" s="18">
        <f t="shared" si="291"/>
        <v>0</v>
      </c>
      <c r="BR139" s="18">
        <f t="shared" si="291"/>
        <v>0</v>
      </c>
      <c r="BS139" s="18">
        <f t="shared" si="291"/>
        <v>0</v>
      </c>
      <c r="BT139" s="18">
        <f t="shared" si="291"/>
        <v>0</v>
      </c>
      <c r="BU139" s="18">
        <f t="shared" ref="BU139:CV139" si="294">SUM(BU140:BU142)</f>
        <v>0</v>
      </c>
      <c r="BV139" s="18">
        <f t="shared" si="294"/>
        <v>0</v>
      </c>
      <c r="BW139" s="18">
        <f t="shared" si="294"/>
        <v>0</v>
      </c>
      <c r="BX139" s="18">
        <f t="shared" si="294"/>
        <v>0</v>
      </c>
      <c r="BY139" s="18">
        <f t="shared" si="294"/>
        <v>0</v>
      </c>
      <c r="BZ139" s="18">
        <f t="shared" si="294"/>
        <v>0</v>
      </c>
      <c r="CA139" s="18">
        <f t="shared" si="294"/>
        <v>0</v>
      </c>
      <c r="CB139" s="18">
        <f t="shared" si="294"/>
        <v>0</v>
      </c>
      <c r="CC139" s="18">
        <f t="shared" si="294"/>
        <v>0</v>
      </c>
      <c r="CD139" s="18">
        <f t="shared" si="294"/>
        <v>0</v>
      </c>
      <c r="CE139" s="18">
        <f t="shared" si="294"/>
        <v>0</v>
      </c>
      <c r="CF139" s="18">
        <f t="shared" si="294"/>
        <v>0</v>
      </c>
      <c r="CG139" s="18">
        <f t="shared" ref="CG139:CH139" si="295">SUM(CG140:CG142)</f>
        <v>0</v>
      </c>
      <c r="CH139" s="18">
        <f t="shared" si="295"/>
        <v>0</v>
      </c>
      <c r="CI139" s="18">
        <f t="shared" si="294"/>
        <v>0</v>
      </c>
      <c r="CJ139" s="18">
        <f t="shared" ref="CJ139" si="296">SUM(CJ140:CJ142)</f>
        <v>0</v>
      </c>
      <c r="CK139" s="18">
        <f t="shared" si="294"/>
        <v>0</v>
      </c>
      <c r="CL139" s="18">
        <f t="shared" ref="CL139" si="297">SUM(CL140:CL142)</f>
        <v>0</v>
      </c>
      <c r="CM139" s="18">
        <f t="shared" si="294"/>
        <v>0</v>
      </c>
      <c r="CN139" s="18"/>
      <c r="CO139" s="18">
        <f t="shared" si="294"/>
        <v>0</v>
      </c>
      <c r="CP139" s="74"/>
      <c r="CQ139" s="74"/>
      <c r="CR139" s="74"/>
      <c r="CS139" s="18">
        <f t="shared" si="294"/>
        <v>0</v>
      </c>
      <c r="CT139" s="18">
        <f t="shared" si="294"/>
        <v>0</v>
      </c>
      <c r="CU139" s="18">
        <f t="shared" si="294"/>
        <v>0</v>
      </c>
      <c r="CV139" s="46">
        <f t="shared" si="294"/>
        <v>0</v>
      </c>
      <c r="CW139" s="57"/>
    </row>
    <row r="140" spans="1:101" ht="31.2" x14ac:dyDescent="0.3">
      <c r="A140" s="105" t="s">
        <v>1</v>
      </c>
      <c r="B140" s="21" t="s">
        <v>70</v>
      </c>
      <c r="C140" s="22" t="s">
        <v>500</v>
      </c>
      <c r="D140" s="19">
        <f>SUM(E140+BZ140+CS140)</f>
        <v>10599716</v>
      </c>
      <c r="E140" s="19">
        <f>SUM(F140+BA140)</f>
        <v>10599716</v>
      </c>
      <c r="F140" s="19">
        <f>SUM(G140+H140+I140+P140+S140+T140+U140+AE140+AD140)</f>
        <v>10599716</v>
      </c>
      <c r="G140" s="23">
        <v>8091577</v>
      </c>
      <c r="H140" s="23">
        <v>1876860</v>
      </c>
      <c r="I140" s="19">
        <f t="shared" si="110"/>
        <v>90491</v>
      </c>
      <c r="J140" s="23">
        <v>0</v>
      </c>
      <c r="K140" s="23"/>
      <c r="L140" s="23">
        <v>0</v>
      </c>
      <c r="M140" s="23">
        <v>0</v>
      </c>
      <c r="N140" s="23">
        <v>50000</v>
      </c>
      <c r="O140" s="23">
        <v>40491</v>
      </c>
      <c r="P140" s="19">
        <f t="shared" si="111"/>
        <v>0</v>
      </c>
      <c r="Q140" s="19">
        <v>0</v>
      </c>
      <c r="R140" s="19">
        <v>0</v>
      </c>
      <c r="S140" s="19">
        <v>0</v>
      </c>
      <c r="T140" s="23">
        <v>23654</v>
      </c>
      <c r="U140" s="19">
        <f t="shared" ref="U140:U142" si="298">SUM(V140:AC140)</f>
        <v>341949</v>
      </c>
      <c r="V140" s="23">
        <v>0</v>
      </c>
      <c r="W140" s="23">
        <v>246360</v>
      </c>
      <c r="X140" s="23">
        <v>70169</v>
      </c>
      <c r="Y140" s="23">
        <v>21420</v>
      </c>
      <c r="Z140" s="23">
        <v>4000</v>
      </c>
      <c r="AA140" s="23">
        <v>0</v>
      </c>
      <c r="AB140" s="23">
        <v>0</v>
      </c>
      <c r="AC140" s="23">
        <v>0</v>
      </c>
      <c r="AD140" s="23">
        <v>0</v>
      </c>
      <c r="AE140" s="19">
        <f>SUM(AF140:AZ140)</f>
        <v>175185</v>
      </c>
      <c r="AF140" s="19">
        <v>0</v>
      </c>
      <c r="AG140" s="19">
        <v>0</v>
      </c>
      <c r="AH140" s="23">
        <v>6598</v>
      </c>
      <c r="AI140" s="23"/>
      <c r="AJ140" s="23">
        <v>0</v>
      </c>
      <c r="AK140" s="23">
        <v>0</v>
      </c>
      <c r="AL140" s="23">
        <v>0</v>
      </c>
      <c r="AM140" s="23">
        <v>0</v>
      </c>
      <c r="AN140" s="23">
        <v>0</v>
      </c>
      <c r="AO140" s="23">
        <v>0</v>
      </c>
      <c r="AP140" s="23">
        <v>0</v>
      </c>
      <c r="AQ140" s="23">
        <v>0</v>
      </c>
      <c r="AR140" s="23">
        <v>144187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24400</v>
      </c>
      <c r="AY140" s="23">
        <v>0</v>
      </c>
      <c r="AZ140" s="23">
        <v>0</v>
      </c>
      <c r="BA140" s="19">
        <f>SUM(BB140+BF140+BI140+BK140+BN140)</f>
        <v>0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2"/>
        <v>0</v>
      </c>
      <c r="BL140" s="19">
        <v>0</v>
      </c>
      <c r="BM140" s="19">
        <v>0</v>
      </c>
      <c r="BN140" s="19">
        <f>SUM(BO140:BY140)</f>
        <v>0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>
        <v>0</v>
      </c>
      <c r="BU140" s="19">
        <v>0</v>
      </c>
      <c r="BV140" s="19">
        <v>0</v>
      </c>
      <c r="BW140" s="19">
        <v>0</v>
      </c>
      <c r="BX140" s="19">
        <v>0</v>
      </c>
      <c r="BY140" s="19">
        <v>0</v>
      </c>
      <c r="BZ140" s="19">
        <f>SUM(CA140+CO140)</f>
        <v>0</v>
      </c>
      <c r="CA140" s="19">
        <f>SUM(CB140+CE140+CK140)</f>
        <v>0</v>
      </c>
      <c r="CB140" s="19">
        <f t="shared" si="113"/>
        <v>0</v>
      </c>
      <c r="CC140" s="19">
        <v>0</v>
      </c>
      <c r="CD140" s="23"/>
      <c r="CE140" s="19">
        <f t="shared" ref="CE140:CE142" si="299"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SUM(CL140:CN140)</f>
        <v>0</v>
      </c>
      <c r="CL140" s="19">
        <v>0</v>
      </c>
      <c r="CM140" s="19">
        <v>0</v>
      </c>
      <c r="CN140" s="19"/>
      <c r="CO140" s="19">
        <v>0</v>
      </c>
      <c r="CP140" s="75"/>
      <c r="CQ140" s="75"/>
      <c r="CR140" s="75"/>
      <c r="CS140" s="19">
        <f t="shared" si="114"/>
        <v>0</v>
      </c>
      <c r="CT140" s="19">
        <f t="shared" si="115"/>
        <v>0</v>
      </c>
      <c r="CU140" s="19">
        <v>0</v>
      </c>
      <c r="CV140" s="20">
        <v>0</v>
      </c>
      <c r="CW140" s="52"/>
    </row>
    <row r="141" spans="1:101" ht="15.6" x14ac:dyDescent="0.3">
      <c r="A141" s="105" t="s">
        <v>1</v>
      </c>
      <c r="B141" s="21" t="s">
        <v>70</v>
      </c>
      <c r="C141" s="22" t="s">
        <v>485</v>
      </c>
      <c r="D141" s="19">
        <f>SUM(E141+BZ141+CS141)</f>
        <v>1231010</v>
      </c>
      <c r="E141" s="19">
        <f>SUM(F141+BA141)</f>
        <v>1231010</v>
      </c>
      <c r="F141" s="19">
        <f>SUM(G141+H141+I141+P141+S141+T141+U141+AE141+AD141)</f>
        <v>1231010</v>
      </c>
      <c r="G141" s="23">
        <v>913618</v>
      </c>
      <c r="H141" s="23">
        <v>214031</v>
      </c>
      <c r="I141" s="19">
        <f t="shared" si="110"/>
        <v>6281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6281</v>
      </c>
      <c r="P141" s="19">
        <f t="shared" si="111"/>
        <v>0</v>
      </c>
      <c r="Q141" s="19">
        <v>0</v>
      </c>
      <c r="R141" s="19">
        <v>0</v>
      </c>
      <c r="S141" s="19">
        <v>0</v>
      </c>
      <c r="T141" s="23">
        <v>10256</v>
      </c>
      <c r="U141" s="19">
        <f t="shared" si="298"/>
        <v>37764</v>
      </c>
      <c r="V141" s="23">
        <v>8238</v>
      </c>
      <c r="W141" s="23">
        <v>0</v>
      </c>
      <c r="X141" s="23">
        <v>21712</v>
      </c>
      <c r="Y141" s="23">
        <v>2835</v>
      </c>
      <c r="Z141" s="23">
        <v>512</v>
      </c>
      <c r="AA141" s="23">
        <v>0</v>
      </c>
      <c r="AB141" s="23">
        <v>0</v>
      </c>
      <c r="AC141" s="23">
        <v>4467</v>
      </c>
      <c r="AD141" s="23">
        <v>0</v>
      </c>
      <c r="AE141" s="19">
        <f>SUM(AF141:AZ141)</f>
        <v>49060</v>
      </c>
      <c r="AF141" s="19">
        <v>0</v>
      </c>
      <c r="AG141" s="19">
        <v>0</v>
      </c>
      <c r="AH141" s="23">
        <v>0</v>
      </c>
      <c r="AI141" s="23">
        <v>0</v>
      </c>
      <c r="AJ141" s="23">
        <v>0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0</v>
      </c>
      <c r="AR141" s="23">
        <v>46176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v>2884</v>
      </c>
      <c r="AY141" s="23">
        <v>0</v>
      </c>
      <c r="AZ141" s="23">
        <v>0</v>
      </c>
      <c r="BA141" s="19">
        <f>SUM(BB141+BF141+BI141+BK141+BN141)</f>
        <v>0</v>
      </c>
      <c r="BB141" s="19">
        <f>SUM(BC141:BE141)</f>
        <v>0</v>
      </c>
      <c r="BC141" s="19">
        <v>0</v>
      </c>
      <c r="BD141" s="19">
        <v>0</v>
      </c>
      <c r="BE141" s="19">
        <v>0</v>
      </c>
      <c r="BF141" s="19">
        <f>SUM(BH141:BH141)</f>
        <v>0</v>
      </c>
      <c r="BG141" s="19">
        <v>0</v>
      </c>
      <c r="BH141" s="19">
        <v>0</v>
      </c>
      <c r="BI141" s="19">
        <v>0</v>
      </c>
      <c r="BJ141" s="19">
        <v>0</v>
      </c>
      <c r="BK141" s="19">
        <f t="shared" si="112"/>
        <v>0</v>
      </c>
      <c r="BL141" s="19">
        <v>0</v>
      </c>
      <c r="BM141" s="19">
        <v>0</v>
      </c>
      <c r="BN141" s="19">
        <f>SUM(BO141:BY141)</f>
        <v>0</v>
      </c>
      <c r="BO141" s="19">
        <v>0</v>
      </c>
      <c r="BP141" s="19">
        <v>0</v>
      </c>
      <c r="BQ141" s="19">
        <v>0</v>
      </c>
      <c r="BR141" s="19">
        <v>0</v>
      </c>
      <c r="BS141" s="19">
        <v>0</v>
      </c>
      <c r="BT141" s="19">
        <v>0</v>
      </c>
      <c r="BU141" s="19">
        <v>0</v>
      </c>
      <c r="BV141" s="19">
        <v>0</v>
      </c>
      <c r="BW141" s="19">
        <v>0</v>
      </c>
      <c r="BX141" s="19">
        <v>0</v>
      </c>
      <c r="BY141" s="19">
        <v>0</v>
      </c>
      <c r="BZ141" s="19">
        <f>SUM(CA141+CO141)</f>
        <v>0</v>
      </c>
      <c r="CA141" s="19">
        <f>SUM(CB141+CE141+CK141)</f>
        <v>0</v>
      </c>
      <c r="CB141" s="19">
        <f t="shared" si="113"/>
        <v>0</v>
      </c>
      <c r="CC141" s="19">
        <v>0</v>
      </c>
      <c r="CD141" s="23">
        <v>0</v>
      </c>
      <c r="CE141" s="19">
        <f t="shared" si="299"/>
        <v>0</v>
      </c>
      <c r="CF141" s="19">
        <v>0</v>
      </c>
      <c r="CG141" s="19">
        <v>0</v>
      </c>
      <c r="CH141" s="19">
        <v>0</v>
      </c>
      <c r="CI141" s="19">
        <v>0</v>
      </c>
      <c r="CJ141" s="19">
        <v>0</v>
      </c>
      <c r="CK141" s="19">
        <f>SUM(CL141:CN141)</f>
        <v>0</v>
      </c>
      <c r="CL141" s="19">
        <v>0</v>
      </c>
      <c r="CM141" s="19">
        <v>0</v>
      </c>
      <c r="CN141" s="19"/>
      <c r="CO141" s="19">
        <v>0</v>
      </c>
      <c r="CP141" s="75"/>
      <c r="CQ141" s="75"/>
      <c r="CR141" s="75"/>
      <c r="CS141" s="19">
        <f t="shared" si="114"/>
        <v>0</v>
      </c>
      <c r="CT141" s="19">
        <f t="shared" si="115"/>
        <v>0</v>
      </c>
      <c r="CU141" s="19">
        <v>0</v>
      </c>
      <c r="CV141" s="20">
        <v>0</v>
      </c>
      <c r="CW141" s="52"/>
    </row>
    <row r="142" spans="1:101" s="58" customFormat="1" ht="31.2" x14ac:dyDescent="0.3">
      <c r="A142" s="105" t="s">
        <v>1</v>
      </c>
      <c r="B142" s="21" t="s">
        <v>70</v>
      </c>
      <c r="C142" s="22" t="s">
        <v>609</v>
      </c>
      <c r="D142" s="19">
        <f>SUM(E142+BZ142+CS142)</f>
        <v>5117485</v>
      </c>
      <c r="E142" s="19">
        <f>SUM(F142+BA142)</f>
        <v>5117485</v>
      </c>
      <c r="F142" s="19">
        <f>SUM(G142+H142+I142+P142+S142+T142+U142+AE142+AD142)</f>
        <v>5117485</v>
      </c>
      <c r="G142" s="23">
        <v>4119588</v>
      </c>
      <c r="H142" s="23">
        <v>997897</v>
      </c>
      <c r="I142" s="19">
        <f t="shared" si="110"/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19">
        <f t="shared" si="111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si="298"/>
        <v>0</v>
      </c>
      <c r="V142" s="23">
        <v>0</v>
      </c>
      <c r="W142" s="23">
        <v>0</v>
      </c>
      <c r="X142" s="23">
        <v>0</v>
      </c>
      <c r="Y142" s="23">
        <v>0</v>
      </c>
      <c r="Z142" s="23">
        <v>0</v>
      </c>
      <c r="AA142" s="23">
        <v>0</v>
      </c>
      <c r="AB142" s="23">
        <v>0</v>
      </c>
      <c r="AC142" s="23">
        <v>0</v>
      </c>
      <c r="AD142" s="23">
        <v>0</v>
      </c>
      <c r="AE142" s="19">
        <f>SUM(AF142:AZ142)</f>
        <v>0</v>
      </c>
      <c r="AF142" s="19">
        <v>0</v>
      </c>
      <c r="AG142" s="19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0</v>
      </c>
      <c r="AM142" s="23">
        <v>0</v>
      </c>
      <c r="AN142" s="23">
        <v>0</v>
      </c>
      <c r="AO142" s="23">
        <v>0</v>
      </c>
      <c r="AP142" s="23">
        <v>0</v>
      </c>
      <c r="AQ142" s="23">
        <v>0</v>
      </c>
      <c r="AR142" s="23">
        <v>0</v>
      </c>
      <c r="AS142" s="23">
        <v>0</v>
      </c>
      <c r="AT142" s="23">
        <v>0</v>
      </c>
      <c r="AU142" s="23">
        <v>0</v>
      </c>
      <c r="AV142" s="23">
        <v>0</v>
      </c>
      <c r="AW142" s="23">
        <v>0</v>
      </c>
      <c r="AX142" s="23">
        <v>0</v>
      </c>
      <c r="AY142" s="23">
        <v>0</v>
      </c>
      <c r="AZ142" s="23">
        <v>0</v>
      </c>
      <c r="BA142" s="19">
        <f>SUM(BB142+BF142+BI142+BK142+BN142)</f>
        <v>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2"/>
        <v>0</v>
      </c>
      <c r="BL142" s="19">
        <v>0</v>
      </c>
      <c r="BM142" s="19">
        <v>0</v>
      </c>
      <c r="BN142" s="19">
        <f>SUM(BO142:BY142)</f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SUM(CA142+CO142)</f>
        <v>0</v>
      </c>
      <c r="CA142" s="19">
        <f>SUM(CB142+CE142+CK142)</f>
        <v>0</v>
      </c>
      <c r="CB142" s="19">
        <f t="shared" si="113"/>
        <v>0</v>
      </c>
      <c r="CC142" s="19">
        <v>0</v>
      </c>
      <c r="CD142" s="19"/>
      <c r="CE142" s="19">
        <f t="shared" si="299"/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SUM(CL142:CN142)</f>
        <v>0</v>
      </c>
      <c r="CL142" s="19">
        <v>0</v>
      </c>
      <c r="CM142" s="19">
        <v>0</v>
      </c>
      <c r="CN142" s="19"/>
      <c r="CO142" s="19">
        <v>0</v>
      </c>
      <c r="CP142" s="75"/>
      <c r="CQ142" s="75"/>
      <c r="CR142" s="75"/>
      <c r="CS142" s="19">
        <f t="shared" si="114"/>
        <v>0</v>
      </c>
      <c r="CT142" s="19">
        <f t="shared" si="115"/>
        <v>0</v>
      </c>
      <c r="CU142" s="19">
        <v>0</v>
      </c>
      <c r="CV142" s="20">
        <v>0</v>
      </c>
      <c r="CW142" s="52"/>
    </row>
    <row r="143" spans="1:101" ht="15.6" x14ac:dyDescent="0.3">
      <c r="A143" s="104" t="s">
        <v>217</v>
      </c>
      <c r="B143" s="16" t="s">
        <v>1</v>
      </c>
      <c r="C143" s="17" t="s">
        <v>218</v>
      </c>
      <c r="D143" s="18">
        <f>SUM(D144:D145)</f>
        <v>545108</v>
      </c>
      <c r="E143" s="18">
        <f t="shared" ref="E143:BT143" si="300">SUM(E144:E145)</f>
        <v>545108</v>
      </c>
      <c r="F143" s="18">
        <f t="shared" si="300"/>
        <v>545108</v>
      </c>
      <c r="G143" s="18">
        <f t="shared" si="300"/>
        <v>0</v>
      </c>
      <c r="H143" s="18">
        <f t="shared" si="300"/>
        <v>0</v>
      </c>
      <c r="I143" s="18">
        <f t="shared" si="300"/>
        <v>0</v>
      </c>
      <c r="J143" s="18">
        <f t="shared" si="300"/>
        <v>0</v>
      </c>
      <c r="K143" s="18">
        <f t="shared" si="300"/>
        <v>0</v>
      </c>
      <c r="L143" s="18">
        <f t="shared" si="300"/>
        <v>0</v>
      </c>
      <c r="M143" s="18">
        <f t="shared" si="300"/>
        <v>0</v>
      </c>
      <c r="N143" s="18">
        <f t="shared" si="300"/>
        <v>0</v>
      </c>
      <c r="O143" s="18">
        <f t="shared" si="300"/>
        <v>0</v>
      </c>
      <c r="P143" s="18">
        <f t="shared" si="300"/>
        <v>0</v>
      </c>
      <c r="Q143" s="18">
        <f t="shared" si="300"/>
        <v>0</v>
      </c>
      <c r="R143" s="18">
        <f t="shared" si="300"/>
        <v>0</v>
      </c>
      <c r="S143" s="18">
        <f t="shared" si="300"/>
        <v>0</v>
      </c>
      <c r="T143" s="18">
        <f t="shared" si="300"/>
        <v>0</v>
      </c>
      <c r="U143" s="18">
        <f t="shared" si="300"/>
        <v>0</v>
      </c>
      <c r="V143" s="18">
        <f t="shared" si="300"/>
        <v>0</v>
      </c>
      <c r="W143" s="18">
        <f t="shared" si="300"/>
        <v>0</v>
      </c>
      <c r="X143" s="18">
        <f t="shared" si="300"/>
        <v>0</v>
      </c>
      <c r="Y143" s="18">
        <f t="shared" si="300"/>
        <v>0</v>
      </c>
      <c r="Z143" s="18">
        <f t="shared" si="300"/>
        <v>0</v>
      </c>
      <c r="AA143" s="18">
        <f t="shared" si="300"/>
        <v>0</v>
      </c>
      <c r="AB143" s="18">
        <f t="shared" si="300"/>
        <v>0</v>
      </c>
      <c r="AC143" s="18">
        <f t="shared" si="300"/>
        <v>0</v>
      </c>
      <c r="AD143" s="18">
        <f t="shared" si="300"/>
        <v>0</v>
      </c>
      <c r="AE143" s="18">
        <f t="shared" si="300"/>
        <v>545108</v>
      </c>
      <c r="AF143" s="18">
        <f t="shared" si="300"/>
        <v>0</v>
      </c>
      <c r="AG143" s="18">
        <f t="shared" si="300"/>
        <v>0</v>
      </c>
      <c r="AH143" s="18">
        <f t="shared" si="300"/>
        <v>0</v>
      </c>
      <c r="AI143" s="18">
        <f t="shared" si="300"/>
        <v>0</v>
      </c>
      <c r="AJ143" s="18">
        <f t="shared" si="300"/>
        <v>0</v>
      </c>
      <c r="AK143" s="18">
        <f t="shared" si="300"/>
        <v>0</v>
      </c>
      <c r="AL143" s="18">
        <f t="shared" si="300"/>
        <v>0</v>
      </c>
      <c r="AM143" s="18">
        <f t="shared" si="300"/>
        <v>0</v>
      </c>
      <c r="AN143" s="18">
        <f t="shared" si="300"/>
        <v>0</v>
      </c>
      <c r="AO143" s="18">
        <f t="shared" si="300"/>
        <v>0</v>
      </c>
      <c r="AP143" s="18">
        <f t="shared" si="300"/>
        <v>0</v>
      </c>
      <c r="AQ143" s="18">
        <f t="shared" si="300"/>
        <v>0</v>
      </c>
      <c r="AR143" s="18">
        <f t="shared" si="300"/>
        <v>0</v>
      </c>
      <c r="AS143" s="18">
        <f t="shared" si="300"/>
        <v>0</v>
      </c>
      <c r="AT143" s="18"/>
      <c r="AU143" s="18"/>
      <c r="AV143" s="18">
        <f t="shared" si="300"/>
        <v>0</v>
      </c>
      <c r="AW143" s="18">
        <f t="shared" si="300"/>
        <v>0</v>
      </c>
      <c r="AX143" s="18">
        <f t="shared" si="300"/>
        <v>0</v>
      </c>
      <c r="AY143" s="18"/>
      <c r="AZ143" s="18">
        <f t="shared" si="300"/>
        <v>545108</v>
      </c>
      <c r="BA143" s="18">
        <f t="shared" si="300"/>
        <v>0</v>
      </c>
      <c r="BB143" s="18">
        <f t="shared" si="300"/>
        <v>0</v>
      </c>
      <c r="BC143" s="18">
        <f t="shared" si="300"/>
        <v>0</v>
      </c>
      <c r="BD143" s="18">
        <f t="shared" si="300"/>
        <v>0</v>
      </c>
      <c r="BE143" s="18">
        <f t="shared" si="300"/>
        <v>0</v>
      </c>
      <c r="BF143" s="18">
        <f t="shared" si="300"/>
        <v>0</v>
      </c>
      <c r="BG143" s="18">
        <f t="shared" si="300"/>
        <v>0</v>
      </c>
      <c r="BH143" s="18">
        <f t="shared" si="300"/>
        <v>0</v>
      </c>
      <c r="BI143" s="18">
        <f t="shared" si="300"/>
        <v>0</v>
      </c>
      <c r="BJ143" s="18">
        <f t="shared" ref="BJ143" si="301">SUM(BJ144:BJ145)</f>
        <v>0</v>
      </c>
      <c r="BK143" s="18">
        <f t="shared" si="300"/>
        <v>0</v>
      </c>
      <c r="BL143" s="18">
        <f t="shared" si="300"/>
        <v>0</v>
      </c>
      <c r="BM143" s="18">
        <f t="shared" ref="BM143" si="302">SUM(BM144:BM145)</f>
        <v>0</v>
      </c>
      <c r="BN143" s="18">
        <f t="shared" si="300"/>
        <v>0</v>
      </c>
      <c r="BO143" s="18">
        <f t="shared" si="300"/>
        <v>0</v>
      </c>
      <c r="BP143" s="18">
        <f t="shared" si="300"/>
        <v>0</v>
      </c>
      <c r="BQ143" s="18">
        <f t="shared" si="300"/>
        <v>0</v>
      </c>
      <c r="BR143" s="18">
        <f t="shared" si="300"/>
        <v>0</v>
      </c>
      <c r="BS143" s="18">
        <f t="shared" si="300"/>
        <v>0</v>
      </c>
      <c r="BT143" s="18">
        <f t="shared" si="300"/>
        <v>0</v>
      </c>
      <c r="BU143" s="18">
        <f t="shared" ref="BU143:CV143" si="303">SUM(BU144:BU145)</f>
        <v>0</v>
      </c>
      <c r="BV143" s="18">
        <f t="shared" si="303"/>
        <v>0</v>
      </c>
      <c r="BW143" s="18">
        <f t="shared" si="303"/>
        <v>0</v>
      </c>
      <c r="BX143" s="18">
        <f t="shared" si="303"/>
        <v>0</v>
      </c>
      <c r="BY143" s="18">
        <f t="shared" si="303"/>
        <v>0</v>
      </c>
      <c r="BZ143" s="18">
        <f t="shared" si="303"/>
        <v>0</v>
      </c>
      <c r="CA143" s="18">
        <f t="shared" si="303"/>
        <v>0</v>
      </c>
      <c r="CB143" s="18">
        <f t="shared" si="303"/>
        <v>0</v>
      </c>
      <c r="CC143" s="18">
        <f t="shared" si="303"/>
        <v>0</v>
      </c>
      <c r="CD143" s="18">
        <f t="shared" si="303"/>
        <v>0</v>
      </c>
      <c r="CE143" s="18">
        <f t="shared" si="303"/>
        <v>0</v>
      </c>
      <c r="CF143" s="18">
        <f t="shared" si="303"/>
        <v>0</v>
      </c>
      <c r="CG143" s="18">
        <f t="shared" ref="CG143:CH143" si="304">SUM(CG144:CG145)</f>
        <v>0</v>
      </c>
      <c r="CH143" s="18">
        <f t="shared" si="304"/>
        <v>0</v>
      </c>
      <c r="CI143" s="18">
        <f t="shared" si="303"/>
        <v>0</v>
      </c>
      <c r="CJ143" s="18">
        <f t="shared" ref="CJ143" si="305">SUM(CJ144:CJ145)</f>
        <v>0</v>
      </c>
      <c r="CK143" s="18">
        <f t="shared" si="303"/>
        <v>0</v>
      </c>
      <c r="CL143" s="18">
        <f t="shared" ref="CL143" si="306">SUM(CL144:CL145)</f>
        <v>0</v>
      </c>
      <c r="CM143" s="18">
        <f t="shared" si="303"/>
        <v>0</v>
      </c>
      <c r="CN143" s="18"/>
      <c r="CO143" s="18">
        <f t="shared" si="303"/>
        <v>0</v>
      </c>
      <c r="CP143" s="74"/>
      <c r="CQ143" s="74"/>
      <c r="CR143" s="74"/>
      <c r="CS143" s="18">
        <f t="shared" si="303"/>
        <v>0</v>
      </c>
      <c r="CT143" s="18">
        <f t="shared" si="303"/>
        <v>0</v>
      </c>
      <c r="CU143" s="18">
        <f t="shared" si="303"/>
        <v>0</v>
      </c>
      <c r="CV143" s="46">
        <f t="shared" si="303"/>
        <v>0</v>
      </c>
      <c r="CW143" s="57"/>
    </row>
    <row r="144" spans="1:101" ht="15.6" x14ac:dyDescent="0.3">
      <c r="A144" s="105" t="s">
        <v>1</v>
      </c>
      <c r="B144" s="21" t="s">
        <v>60</v>
      </c>
      <c r="C144" s="22" t="s">
        <v>219</v>
      </c>
      <c r="D144" s="19">
        <f>SUM(E144+BZ144+CS144)</f>
        <v>315147</v>
      </c>
      <c r="E144" s="19">
        <f>SUM(F144+BA144)</f>
        <v>315147</v>
      </c>
      <c r="F144" s="19">
        <f>SUM(G144+H144+I144+P144+S144+T144+U144+AE144+AD144)</f>
        <v>315147</v>
      </c>
      <c r="G144" s="19">
        <v>0</v>
      </c>
      <c r="H144" s="19">
        <v>0</v>
      </c>
      <c r="I144" s="19">
        <f t="shared" ref="I144:I214" si="307">SUM(J144:O144)</f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ref="P144:P214" si="308">SUM(Q144:R144)</f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ref="U144:U145" si="309">SUM(V144:AC144)</f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f>SUM(AF144:AZ144)</f>
        <v>315147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23">
        <v>315147</v>
      </c>
      <c r="BA144" s="19">
        <f>SUM(BB144+BF144+BI144+BK144+BN144)</f>
        <v>0</v>
      </c>
      <c r="BB144" s="19">
        <f>SUM(BC144:BE144)</f>
        <v>0</v>
      </c>
      <c r="BC144" s="19">
        <v>0</v>
      </c>
      <c r="BD144" s="19">
        <v>0</v>
      </c>
      <c r="BE144" s="19">
        <v>0</v>
      </c>
      <c r="BF144" s="19">
        <f>SUM(BH144:BH144)</f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f t="shared" ref="BK144:BK214" si="310">SUM(BL144)</f>
        <v>0</v>
      </c>
      <c r="BL144" s="19">
        <v>0</v>
      </c>
      <c r="BM144" s="19">
        <v>0</v>
      </c>
      <c r="BN144" s="19">
        <f>SUM(BO144:BY144)</f>
        <v>0</v>
      </c>
      <c r="BO144" s="19">
        <v>0</v>
      </c>
      <c r="BP144" s="19">
        <v>0</v>
      </c>
      <c r="BQ144" s="19">
        <v>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f>SUM(CA144+CO144)</f>
        <v>0</v>
      </c>
      <c r="CA144" s="19">
        <f>SUM(CB144+CE144+CK144)</f>
        <v>0</v>
      </c>
      <c r="CB144" s="19">
        <f t="shared" ref="CB144:CB214" si="311">SUM(CC144:CD144)</f>
        <v>0</v>
      </c>
      <c r="CC144" s="19">
        <v>0</v>
      </c>
      <c r="CD144" s="19">
        <v>0</v>
      </c>
      <c r="CE144" s="19">
        <f t="shared" ref="CE144:CE145" si="312">SUM(CF144:CJ144)</f>
        <v>0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f>SUM(CL144:CN144)</f>
        <v>0</v>
      </c>
      <c r="CL144" s="19">
        <v>0</v>
      </c>
      <c r="CM144" s="19">
        <v>0</v>
      </c>
      <c r="CN144" s="19"/>
      <c r="CO144" s="19">
        <v>0</v>
      </c>
      <c r="CP144" s="75"/>
      <c r="CQ144" s="75"/>
      <c r="CR144" s="75"/>
      <c r="CS144" s="19">
        <f t="shared" ref="CS144:CS214" si="313">SUM(CT144)</f>
        <v>0</v>
      </c>
      <c r="CT144" s="19">
        <f t="shared" ref="CT144:CT214" si="314">SUM(CU144:CV144)</f>
        <v>0</v>
      </c>
      <c r="CU144" s="19">
        <v>0</v>
      </c>
      <c r="CV144" s="20">
        <v>0</v>
      </c>
      <c r="CW144" s="52"/>
    </row>
    <row r="145" spans="1:101" s="58" customFormat="1" ht="15.6" x14ac:dyDescent="0.3">
      <c r="A145" s="105" t="s">
        <v>1</v>
      </c>
      <c r="B145" s="21" t="s">
        <v>68</v>
      </c>
      <c r="C145" s="22" t="s">
        <v>220</v>
      </c>
      <c r="D145" s="19">
        <f>SUM(E145+BZ145+CS145)</f>
        <v>229961</v>
      </c>
      <c r="E145" s="19">
        <f>SUM(F145+BA145)</f>
        <v>229961</v>
      </c>
      <c r="F145" s="19">
        <f>SUM(G145+H145+I145+P145+S145+T145+U145+AE145+AD145)</f>
        <v>229961</v>
      </c>
      <c r="G145" s="19">
        <v>0</v>
      </c>
      <c r="H145" s="19">
        <v>0</v>
      </c>
      <c r="I145" s="19">
        <f t="shared" si="307"/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f t="shared" si="308"/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f t="shared" si="309"/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f>SUM(AF145:AZ145)</f>
        <v>229961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23">
        <v>229961</v>
      </c>
      <c r="BA145" s="19">
        <f>SUM(BB145+BF145+BI145+BK145+BN145)</f>
        <v>0</v>
      </c>
      <c r="BB145" s="19">
        <f>SUM(BC145:BE145)</f>
        <v>0</v>
      </c>
      <c r="BC145" s="19">
        <v>0</v>
      </c>
      <c r="BD145" s="19">
        <v>0</v>
      </c>
      <c r="BE145" s="19">
        <v>0</v>
      </c>
      <c r="BF145" s="19">
        <f>SUM(BH145:BH145)</f>
        <v>0</v>
      </c>
      <c r="BG145" s="19">
        <v>0</v>
      </c>
      <c r="BH145" s="19">
        <v>0</v>
      </c>
      <c r="BI145" s="19">
        <v>0</v>
      </c>
      <c r="BJ145" s="19">
        <v>0</v>
      </c>
      <c r="BK145" s="19">
        <f t="shared" si="310"/>
        <v>0</v>
      </c>
      <c r="BL145" s="19">
        <v>0</v>
      </c>
      <c r="BM145" s="19">
        <v>0</v>
      </c>
      <c r="BN145" s="19">
        <f>SUM(BO145:BY145)</f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0</v>
      </c>
      <c r="BW145" s="19">
        <v>0</v>
      </c>
      <c r="BX145" s="19">
        <v>0</v>
      </c>
      <c r="BY145" s="19">
        <v>0</v>
      </c>
      <c r="BZ145" s="19">
        <f>SUM(CA145+CO145)</f>
        <v>0</v>
      </c>
      <c r="CA145" s="19">
        <f>SUM(CB145+CE145+CK145)</f>
        <v>0</v>
      </c>
      <c r="CB145" s="19">
        <f t="shared" si="311"/>
        <v>0</v>
      </c>
      <c r="CC145" s="19">
        <v>0</v>
      </c>
      <c r="CD145" s="19">
        <v>0</v>
      </c>
      <c r="CE145" s="19">
        <f t="shared" si="312"/>
        <v>0</v>
      </c>
      <c r="CF145" s="19">
        <v>0</v>
      </c>
      <c r="CG145" s="19">
        <v>0</v>
      </c>
      <c r="CH145" s="19">
        <v>0</v>
      </c>
      <c r="CI145" s="19">
        <v>0</v>
      </c>
      <c r="CJ145" s="19">
        <v>0</v>
      </c>
      <c r="CK145" s="19">
        <f>SUM(CL145:CN145)</f>
        <v>0</v>
      </c>
      <c r="CL145" s="19">
        <v>0</v>
      </c>
      <c r="CM145" s="19">
        <v>0</v>
      </c>
      <c r="CN145" s="19"/>
      <c r="CO145" s="19">
        <v>0</v>
      </c>
      <c r="CP145" s="75"/>
      <c r="CQ145" s="75"/>
      <c r="CR145" s="75"/>
      <c r="CS145" s="19">
        <f t="shared" si="313"/>
        <v>0</v>
      </c>
      <c r="CT145" s="19">
        <f t="shared" si="314"/>
        <v>0</v>
      </c>
      <c r="CU145" s="19">
        <v>0</v>
      </c>
      <c r="CV145" s="20">
        <v>0</v>
      </c>
      <c r="CW145" s="52"/>
    </row>
    <row r="146" spans="1:101" ht="31.2" x14ac:dyDescent="0.3">
      <c r="A146" s="104" t="s">
        <v>221</v>
      </c>
      <c r="B146" s="16" t="s">
        <v>1</v>
      </c>
      <c r="C146" s="17" t="s">
        <v>529</v>
      </c>
      <c r="D146" s="18">
        <f t="shared" ref="D146:AS146" si="315">SUM(D147:D151)</f>
        <v>13868354</v>
      </c>
      <c r="E146" s="18">
        <f t="shared" si="315"/>
        <v>13385459</v>
      </c>
      <c r="F146" s="18">
        <f t="shared" si="315"/>
        <v>12877955</v>
      </c>
      <c r="G146" s="18">
        <f t="shared" si="315"/>
        <v>8686769</v>
      </c>
      <c r="H146" s="18">
        <f t="shared" si="315"/>
        <v>2049919</v>
      </c>
      <c r="I146" s="18">
        <f t="shared" si="315"/>
        <v>761673</v>
      </c>
      <c r="J146" s="18">
        <f t="shared" si="315"/>
        <v>17702</v>
      </c>
      <c r="K146" s="18">
        <f t="shared" si="315"/>
        <v>70000</v>
      </c>
      <c r="L146" s="18">
        <f t="shared" si="315"/>
        <v>0</v>
      </c>
      <c r="M146" s="18">
        <f t="shared" si="315"/>
        <v>0</v>
      </c>
      <c r="N146" s="18">
        <f t="shared" si="315"/>
        <v>475635</v>
      </c>
      <c r="O146" s="18">
        <f t="shared" si="315"/>
        <v>198336</v>
      </c>
      <c r="P146" s="18">
        <f t="shared" si="315"/>
        <v>0</v>
      </c>
      <c r="Q146" s="18">
        <f t="shared" si="315"/>
        <v>0</v>
      </c>
      <c r="R146" s="18">
        <f t="shared" si="315"/>
        <v>0</v>
      </c>
      <c r="S146" s="18">
        <f t="shared" si="315"/>
        <v>0</v>
      </c>
      <c r="T146" s="18">
        <f t="shared" si="315"/>
        <v>63322</v>
      </c>
      <c r="U146" s="18">
        <f t="shared" si="315"/>
        <v>279015</v>
      </c>
      <c r="V146" s="18">
        <f t="shared" si="315"/>
        <v>5000</v>
      </c>
      <c r="W146" s="18">
        <f t="shared" si="315"/>
        <v>182779</v>
      </c>
      <c r="X146" s="18">
        <f t="shared" si="315"/>
        <v>64047</v>
      </c>
      <c r="Y146" s="18">
        <f t="shared" si="315"/>
        <v>27189</v>
      </c>
      <c r="Z146" s="18">
        <f t="shared" si="315"/>
        <v>0</v>
      </c>
      <c r="AA146" s="18">
        <f t="shared" si="315"/>
        <v>0</v>
      </c>
      <c r="AB146" s="18">
        <f t="shared" si="315"/>
        <v>0</v>
      </c>
      <c r="AC146" s="18">
        <f t="shared" si="315"/>
        <v>0</v>
      </c>
      <c r="AD146" s="18">
        <f t="shared" si="315"/>
        <v>0</v>
      </c>
      <c r="AE146" s="18">
        <f t="shared" si="315"/>
        <v>1037257</v>
      </c>
      <c r="AF146" s="18">
        <f t="shared" si="315"/>
        <v>0</v>
      </c>
      <c r="AG146" s="18">
        <f t="shared" si="315"/>
        <v>0</v>
      </c>
      <c r="AH146" s="18">
        <f t="shared" si="315"/>
        <v>0</v>
      </c>
      <c r="AI146" s="18">
        <f t="shared" si="315"/>
        <v>0</v>
      </c>
      <c r="AJ146" s="18">
        <f t="shared" si="315"/>
        <v>0</v>
      </c>
      <c r="AK146" s="18">
        <f t="shared" si="315"/>
        <v>0</v>
      </c>
      <c r="AL146" s="18">
        <f t="shared" si="315"/>
        <v>0</v>
      </c>
      <c r="AM146" s="18">
        <f t="shared" si="315"/>
        <v>430</v>
      </c>
      <c r="AN146" s="18">
        <f t="shared" si="315"/>
        <v>2414</v>
      </c>
      <c r="AO146" s="18">
        <f t="shared" si="315"/>
        <v>0</v>
      </c>
      <c r="AP146" s="18">
        <f t="shared" si="315"/>
        <v>0</v>
      </c>
      <c r="AQ146" s="18">
        <f t="shared" si="315"/>
        <v>0</v>
      </c>
      <c r="AR146" s="18">
        <f t="shared" si="315"/>
        <v>125448</v>
      </c>
      <c r="AS146" s="18">
        <f t="shared" si="315"/>
        <v>24000</v>
      </c>
      <c r="AT146" s="18"/>
      <c r="AU146" s="18"/>
      <c r="AV146" s="18">
        <f>SUM(AV147:AV151)</f>
        <v>0</v>
      </c>
      <c r="AW146" s="18">
        <f>SUM(AW147:AW151)</f>
        <v>0</v>
      </c>
      <c r="AX146" s="18">
        <f>SUM(AX147:AX151)</f>
        <v>0</v>
      </c>
      <c r="AY146" s="18"/>
      <c r="AZ146" s="18">
        <f t="shared" ref="AZ146:CM146" si="316">SUM(AZ147:AZ151)</f>
        <v>884965</v>
      </c>
      <c r="BA146" s="18">
        <f t="shared" si="316"/>
        <v>507504</v>
      </c>
      <c r="BB146" s="18">
        <f t="shared" si="316"/>
        <v>0</v>
      </c>
      <c r="BC146" s="18">
        <f t="shared" si="316"/>
        <v>0</v>
      </c>
      <c r="BD146" s="18">
        <f t="shared" si="316"/>
        <v>0</v>
      </c>
      <c r="BE146" s="18">
        <f t="shared" si="316"/>
        <v>0</v>
      </c>
      <c r="BF146" s="18">
        <f t="shared" si="316"/>
        <v>0</v>
      </c>
      <c r="BG146" s="18">
        <f t="shared" si="316"/>
        <v>0</v>
      </c>
      <c r="BH146" s="18">
        <f t="shared" si="316"/>
        <v>0</v>
      </c>
      <c r="BI146" s="18">
        <f t="shared" si="316"/>
        <v>0</v>
      </c>
      <c r="BJ146" s="18">
        <f t="shared" ref="BJ146" si="317">SUM(BJ147:BJ151)</f>
        <v>0</v>
      </c>
      <c r="BK146" s="18">
        <f t="shared" si="316"/>
        <v>0</v>
      </c>
      <c r="BL146" s="18">
        <f t="shared" si="316"/>
        <v>0</v>
      </c>
      <c r="BM146" s="18">
        <f t="shared" si="316"/>
        <v>0</v>
      </c>
      <c r="BN146" s="18">
        <f t="shared" si="316"/>
        <v>507504</v>
      </c>
      <c r="BO146" s="18">
        <f t="shared" si="316"/>
        <v>0</v>
      </c>
      <c r="BP146" s="18">
        <f t="shared" si="316"/>
        <v>0</v>
      </c>
      <c r="BQ146" s="18">
        <f t="shared" si="316"/>
        <v>507504</v>
      </c>
      <c r="BR146" s="18">
        <f t="shared" si="316"/>
        <v>0</v>
      </c>
      <c r="BS146" s="18">
        <f t="shared" si="316"/>
        <v>0</v>
      </c>
      <c r="BT146" s="18">
        <f t="shared" si="316"/>
        <v>0</v>
      </c>
      <c r="BU146" s="18">
        <f t="shared" si="316"/>
        <v>0</v>
      </c>
      <c r="BV146" s="18">
        <f t="shared" si="316"/>
        <v>0</v>
      </c>
      <c r="BW146" s="18">
        <f t="shared" si="316"/>
        <v>0</v>
      </c>
      <c r="BX146" s="18">
        <f t="shared" si="316"/>
        <v>0</v>
      </c>
      <c r="BY146" s="18">
        <f t="shared" si="316"/>
        <v>0</v>
      </c>
      <c r="BZ146" s="18">
        <f t="shared" si="316"/>
        <v>482895</v>
      </c>
      <c r="CA146" s="18">
        <f t="shared" si="316"/>
        <v>482895</v>
      </c>
      <c r="CB146" s="18">
        <f t="shared" si="316"/>
        <v>482895</v>
      </c>
      <c r="CC146" s="18">
        <f t="shared" si="316"/>
        <v>0</v>
      </c>
      <c r="CD146" s="18">
        <f t="shared" si="316"/>
        <v>482895</v>
      </c>
      <c r="CE146" s="18">
        <f t="shared" si="316"/>
        <v>0</v>
      </c>
      <c r="CF146" s="18">
        <f t="shared" si="316"/>
        <v>0</v>
      </c>
      <c r="CG146" s="18">
        <f t="shared" si="316"/>
        <v>0</v>
      </c>
      <c r="CH146" s="18">
        <f t="shared" si="316"/>
        <v>0</v>
      </c>
      <c r="CI146" s="18">
        <f t="shared" si="316"/>
        <v>0</v>
      </c>
      <c r="CJ146" s="18">
        <f t="shared" si="316"/>
        <v>0</v>
      </c>
      <c r="CK146" s="18">
        <f t="shared" si="316"/>
        <v>0</v>
      </c>
      <c r="CL146" s="18">
        <f t="shared" si="316"/>
        <v>0</v>
      </c>
      <c r="CM146" s="18">
        <f t="shared" si="316"/>
        <v>0</v>
      </c>
      <c r="CN146" s="18"/>
      <c r="CO146" s="18">
        <f>SUM(CO147:CO151)</f>
        <v>0</v>
      </c>
      <c r="CP146" s="74"/>
      <c r="CQ146" s="74"/>
      <c r="CR146" s="74"/>
      <c r="CS146" s="18">
        <f>SUM(CS147:CS151)</f>
        <v>0</v>
      </c>
      <c r="CT146" s="18">
        <f>SUM(CT147:CT151)</f>
        <v>0</v>
      </c>
      <c r="CU146" s="18">
        <f>SUM(CU147:CU151)</f>
        <v>0</v>
      </c>
      <c r="CV146" s="46">
        <f>SUM(CV147:CV151)</f>
        <v>0</v>
      </c>
      <c r="CW146" s="57"/>
    </row>
    <row r="147" spans="1:101" ht="15.6" x14ac:dyDescent="0.3">
      <c r="A147" s="105" t="s">
        <v>1</v>
      </c>
      <c r="B147" s="21" t="s">
        <v>56</v>
      </c>
      <c r="C147" s="22" t="s">
        <v>501</v>
      </c>
      <c r="D147" s="19">
        <f>SUM(E147+BZ147+CS147)</f>
        <v>4718925</v>
      </c>
      <c r="E147" s="19">
        <f>SUM(F147+BA147)</f>
        <v>4718925</v>
      </c>
      <c r="F147" s="19">
        <f t="shared" ref="F147:F151" si="318">SUM(G147+H147+I147+P147+S147+T147+U147+AE147+AD147)</f>
        <v>4211421</v>
      </c>
      <c r="G147" s="23">
        <v>3059672</v>
      </c>
      <c r="H147" s="23">
        <v>733911</v>
      </c>
      <c r="I147" s="19">
        <f t="shared" si="307"/>
        <v>134524</v>
      </c>
      <c r="J147" s="23">
        <v>0</v>
      </c>
      <c r="K147" s="23">
        <v>0</v>
      </c>
      <c r="L147" s="23">
        <v>0</v>
      </c>
      <c r="M147" s="23">
        <v>0</v>
      </c>
      <c r="N147" s="23">
        <v>120589</v>
      </c>
      <c r="O147" s="23">
        <v>13935</v>
      </c>
      <c r="P147" s="19">
        <f t="shared" si="308"/>
        <v>0</v>
      </c>
      <c r="Q147" s="23"/>
      <c r="R147" s="23"/>
      <c r="S147" s="23"/>
      <c r="T147" s="23">
        <v>40833</v>
      </c>
      <c r="U147" s="19">
        <f t="shared" ref="U147:U151" si="319">SUM(V147:AC147)</f>
        <v>155794</v>
      </c>
      <c r="V147" s="23">
        <v>5000</v>
      </c>
      <c r="W147" s="23">
        <v>93686</v>
      </c>
      <c r="X147" s="23">
        <v>33577</v>
      </c>
      <c r="Y147" s="23">
        <v>23531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19">
        <f>SUM(AF147:AZ147)</f>
        <v>86687</v>
      </c>
      <c r="AF147" s="19">
        <v>0</v>
      </c>
      <c r="AG147" s="19">
        <v>0</v>
      </c>
      <c r="AH147" s="23">
        <v>0</v>
      </c>
      <c r="AI147" s="23">
        <v>0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3">
        <v>0</v>
      </c>
      <c r="AP147" s="23">
        <v>0</v>
      </c>
      <c r="AQ147" s="23">
        <v>0</v>
      </c>
      <c r="AR147" s="23">
        <v>60425</v>
      </c>
      <c r="AS147" s="23">
        <v>24000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2262</v>
      </c>
      <c r="BA147" s="19">
        <f>SUM(BB147+BF147+BI147+BK147+BN147)</f>
        <v>507504</v>
      </c>
      <c r="BB147" s="19">
        <f t="shared" ref="BB147:BB151" si="320">SUM(BC147:BE147)</f>
        <v>0</v>
      </c>
      <c r="BC147" s="19">
        <v>0</v>
      </c>
      <c r="BD147" s="19">
        <v>0</v>
      </c>
      <c r="BE147" s="19">
        <v>0</v>
      </c>
      <c r="BF147" s="19">
        <f t="shared" ref="BF147:BF151" si="321"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310"/>
        <v>0</v>
      </c>
      <c r="BL147" s="19">
        <v>0</v>
      </c>
      <c r="BM147" s="19">
        <v>0</v>
      </c>
      <c r="BN147" s="19">
        <f t="shared" ref="BN147:BN151" si="322">SUM(BO147:BY147)</f>
        <v>507504</v>
      </c>
      <c r="BO147" s="19">
        <v>0</v>
      </c>
      <c r="BP147" s="19">
        <v>0</v>
      </c>
      <c r="BQ147" s="23">
        <v>507504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SUM(CA147+CO147)</f>
        <v>0</v>
      </c>
      <c r="CA147" s="19">
        <f>SUM(CB147+CE147+CK147)</f>
        <v>0</v>
      </c>
      <c r="CB147" s="19">
        <f t="shared" si="311"/>
        <v>0</v>
      </c>
      <c r="CC147" s="19">
        <v>0</v>
      </c>
      <c r="CD147" s="23"/>
      <c r="CE147" s="19">
        <f t="shared" ref="CE147:CE151" si="323">SUM(CF147:CJ147)</f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SUM(CL147:CN147)</f>
        <v>0</v>
      </c>
      <c r="CL147" s="19">
        <v>0</v>
      </c>
      <c r="CM147" s="19">
        <v>0</v>
      </c>
      <c r="CN147" s="19"/>
      <c r="CO147" s="19">
        <v>0</v>
      </c>
      <c r="CP147" s="75"/>
      <c r="CQ147" s="75"/>
      <c r="CR147" s="75"/>
      <c r="CS147" s="19">
        <f t="shared" si="313"/>
        <v>0</v>
      </c>
      <c r="CT147" s="19">
        <f t="shared" si="314"/>
        <v>0</v>
      </c>
      <c r="CU147" s="19">
        <v>0</v>
      </c>
      <c r="CV147" s="20">
        <v>0</v>
      </c>
      <c r="CW147" s="52"/>
    </row>
    <row r="148" spans="1:101" ht="15.6" x14ac:dyDescent="0.3">
      <c r="A148" s="105" t="s">
        <v>1</v>
      </c>
      <c r="B148" s="21" t="s">
        <v>68</v>
      </c>
      <c r="C148" s="22" t="s">
        <v>222</v>
      </c>
      <c r="D148" s="19">
        <f>SUM(E148+BZ148+CS148)</f>
        <v>5300851</v>
      </c>
      <c r="E148" s="19">
        <f>SUM(F148+BA148)</f>
        <v>4832470</v>
      </c>
      <c r="F148" s="19">
        <f t="shared" si="318"/>
        <v>4832470</v>
      </c>
      <c r="G148" s="23">
        <v>3172068</v>
      </c>
      <c r="H148" s="23">
        <v>739523</v>
      </c>
      <c r="I148" s="19">
        <f>SUM(J148:O148)</f>
        <v>597776</v>
      </c>
      <c r="J148" s="23">
        <v>9000</v>
      </c>
      <c r="K148" s="23">
        <v>70000</v>
      </c>
      <c r="L148" s="23">
        <v>0</v>
      </c>
      <c r="M148" s="23">
        <v>0</v>
      </c>
      <c r="N148" s="23">
        <v>355046</v>
      </c>
      <c r="O148" s="23">
        <v>163730</v>
      </c>
      <c r="P148" s="19">
        <f>SUM(Q148:R148)</f>
        <v>0</v>
      </c>
      <c r="Q148" s="23"/>
      <c r="R148" s="23"/>
      <c r="S148" s="23"/>
      <c r="T148" s="23">
        <v>17015</v>
      </c>
      <c r="U148" s="19">
        <f t="shared" si="319"/>
        <v>123221</v>
      </c>
      <c r="V148" s="23">
        <v>0</v>
      </c>
      <c r="W148" s="23">
        <v>89093</v>
      </c>
      <c r="X148" s="23">
        <v>30470</v>
      </c>
      <c r="Y148" s="23">
        <v>3658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19">
        <f>SUM(AF148:AZ148)</f>
        <v>182867</v>
      </c>
      <c r="AF148" s="19">
        <v>0</v>
      </c>
      <c r="AG148" s="19">
        <v>0</v>
      </c>
      <c r="AH148" s="23">
        <v>0</v>
      </c>
      <c r="AI148" s="23"/>
      <c r="AJ148" s="23">
        <v>0</v>
      </c>
      <c r="AK148" s="23">
        <v>0</v>
      </c>
      <c r="AL148" s="23">
        <v>0</v>
      </c>
      <c r="AM148" s="23">
        <v>430</v>
      </c>
      <c r="AN148" s="23">
        <v>2414</v>
      </c>
      <c r="AO148" s="23">
        <v>0</v>
      </c>
      <c r="AP148" s="23">
        <v>0</v>
      </c>
      <c r="AQ148" s="23">
        <v>0</v>
      </c>
      <c r="AR148" s="23">
        <v>65023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115000</v>
      </c>
      <c r="BA148" s="19">
        <f>SUM(BB148+BF148+BI148+BK148+BN148)</f>
        <v>0</v>
      </c>
      <c r="BB148" s="19">
        <f t="shared" si="320"/>
        <v>0</v>
      </c>
      <c r="BC148" s="19">
        <v>0</v>
      </c>
      <c r="BD148" s="19">
        <v>0</v>
      </c>
      <c r="BE148" s="19">
        <v>0</v>
      </c>
      <c r="BF148" s="19">
        <f t="shared" si="321"/>
        <v>0</v>
      </c>
      <c r="BG148" s="19">
        <v>0</v>
      </c>
      <c r="BH148" s="19">
        <v>0</v>
      </c>
      <c r="BI148" s="19">
        <v>0</v>
      </c>
      <c r="BJ148" s="19">
        <v>0</v>
      </c>
      <c r="BK148" s="19">
        <f>SUM(BL148)</f>
        <v>0</v>
      </c>
      <c r="BL148" s="19">
        <v>0</v>
      </c>
      <c r="BM148" s="19">
        <v>0</v>
      </c>
      <c r="BN148" s="19">
        <f t="shared" si="322"/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f>SUM(CA148+CO148)</f>
        <v>468381</v>
      </c>
      <c r="CA148" s="19">
        <f>SUM(CB148+CE148+CK148)</f>
        <v>468381</v>
      </c>
      <c r="CB148" s="19">
        <f>SUM(CC148:CD148)</f>
        <v>468381</v>
      </c>
      <c r="CC148" s="19">
        <v>0</v>
      </c>
      <c r="CD148" s="23">
        <v>468381</v>
      </c>
      <c r="CE148" s="19">
        <f t="shared" si="323"/>
        <v>0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f>SUM(CL148:CN148)</f>
        <v>0</v>
      </c>
      <c r="CL148" s="19">
        <v>0</v>
      </c>
      <c r="CM148" s="19">
        <v>0</v>
      </c>
      <c r="CN148" s="19"/>
      <c r="CO148" s="19">
        <v>0</v>
      </c>
      <c r="CP148" s="75"/>
      <c r="CQ148" s="75"/>
      <c r="CR148" s="75"/>
      <c r="CS148" s="19">
        <f>SUM(CT148)</f>
        <v>0</v>
      </c>
      <c r="CT148" s="19">
        <f>SUM(CU148:CV148)</f>
        <v>0</v>
      </c>
      <c r="CU148" s="19">
        <v>0</v>
      </c>
      <c r="CV148" s="20">
        <v>0</v>
      </c>
      <c r="CW148" s="52"/>
    </row>
    <row r="149" spans="1:101" ht="15.6" x14ac:dyDescent="0.3">
      <c r="A149" s="105" t="s">
        <v>1</v>
      </c>
      <c r="B149" s="21" t="s">
        <v>68</v>
      </c>
      <c r="C149" s="22" t="s">
        <v>223</v>
      </c>
      <c r="D149" s="19">
        <f>SUM(E149+BZ149+CS149)</f>
        <v>3016853</v>
      </c>
      <c r="E149" s="19">
        <f>SUM(F149+BA149)</f>
        <v>3016853</v>
      </c>
      <c r="F149" s="19">
        <f t="shared" si="318"/>
        <v>3016853</v>
      </c>
      <c r="G149" s="23">
        <v>2244413</v>
      </c>
      <c r="H149" s="23">
        <v>523830</v>
      </c>
      <c r="I149" s="19">
        <f t="shared" si="307"/>
        <v>23136</v>
      </c>
      <c r="J149" s="23">
        <v>8702</v>
      </c>
      <c r="K149" s="23">
        <v>0</v>
      </c>
      <c r="L149" s="23">
        <v>0</v>
      </c>
      <c r="M149" s="23">
        <v>0</v>
      </c>
      <c r="N149" s="23">
        <v>0</v>
      </c>
      <c r="O149" s="23">
        <v>14434</v>
      </c>
      <c r="P149" s="19">
        <f t="shared" si="308"/>
        <v>0</v>
      </c>
      <c r="Q149" s="23"/>
      <c r="R149" s="23"/>
      <c r="S149" s="23"/>
      <c r="T149" s="23">
        <v>5474</v>
      </c>
      <c r="U149" s="19">
        <f t="shared" si="319"/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19">
        <f>SUM(AF149:AZ149)</f>
        <v>220000</v>
      </c>
      <c r="AF149" s="19">
        <v>0</v>
      </c>
      <c r="AG149" s="19">
        <v>0</v>
      </c>
      <c r="AH149" s="23"/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>
        <v>0</v>
      </c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220000</v>
      </c>
      <c r="BA149" s="19">
        <f>SUM(BB149+BF149+BI149+BK149+BN149)</f>
        <v>0</v>
      </c>
      <c r="BB149" s="19">
        <f t="shared" si="320"/>
        <v>0</v>
      </c>
      <c r="BC149" s="19">
        <v>0</v>
      </c>
      <c r="BD149" s="19">
        <v>0</v>
      </c>
      <c r="BE149" s="19">
        <v>0</v>
      </c>
      <c r="BF149" s="19">
        <f t="shared" si="321"/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si="310"/>
        <v>0</v>
      </c>
      <c r="BL149" s="19">
        <v>0</v>
      </c>
      <c r="BM149" s="19">
        <v>0</v>
      </c>
      <c r="BN149" s="19">
        <f t="shared" si="322"/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SUM(CA149+CO149)</f>
        <v>0</v>
      </c>
      <c r="CA149" s="19">
        <f>SUM(CB149+CE149+CK149)</f>
        <v>0</v>
      </c>
      <c r="CB149" s="19">
        <f t="shared" si="311"/>
        <v>0</v>
      </c>
      <c r="CC149" s="19">
        <v>0</v>
      </c>
      <c r="CD149" s="23">
        <v>0</v>
      </c>
      <c r="CE149" s="19">
        <f t="shared" si="323"/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SUM(CL149:CN149)</f>
        <v>0</v>
      </c>
      <c r="CL149" s="19">
        <v>0</v>
      </c>
      <c r="CM149" s="19">
        <v>0</v>
      </c>
      <c r="CN149" s="19"/>
      <c r="CO149" s="19">
        <v>0</v>
      </c>
      <c r="CP149" s="75"/>
      <c r="CQ149" s="75"/>
      <c r="CR149" s="75"/>
      <c r="CS149" s="19">
        <f t="shared" si="313"/>
        <v>0</v>
      </c>
      <c r="CT149" s="19">
        <f t="shared" si="314"/>
        <v>0</v>
      </c>
      <c r="CU149" s="19">
        <v>0</v>
      </c>
      <c r="CV149" s="20">
        <v>0</v>
      </c>
      <c r="CW149" s="52"/>
    </row>
    <row r="150" spans="1:101" ht="31.2" x14ac:dyDescent="0.3">
      <c r="A150" s="105" t="s">
        <v>1</v>
      </c>
      <c r="B150" s="21" t="s">
        <v>70</v>
      </c>
      <c r="C150" s="22" t="s">
        <v>449</v>
      </c>
      <c r="D150" s="19">
        <f>SUM(E150+BZ150+CS150)</f>
        <v>284022</v>
      </c>
      <c r="E150" s="19">
        <f>SUM(F150+BA150)</f>
        <v>269508</v>
      </c>
      <c r="F150" s="19">
        <f t="shared" si="318"/>
        <v>269508</v>
      </c>
      <c r="G150" s="23">
        <v>210616</v>
      </c>
      <c r="H150" s="23">
        <v>52655</v>
      </c>
      <c r="I150" s="19">
        <f>SUM(J150:O150)</f>
        <v>6237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6237</v>
      </c>
      <c r="P150" s="19">
        <f>SUM(Q150:R150)</f>
        <v>0</v>
      </c>
      <c r="Q150" s="23">
        <v>0</v>
      </c>
      <c r="R150" s="23">
        <v>0</v>
      </c>
      <c r="S150" s="23">
        <v>0</v>
      </c>
      <c r="T150" s="23">
        <v>0</v>
      </c>
      <c r="U150" s="19">
        <f t="shared" si="319"/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  <c r="AD150" s="23">
        <v>0</v>
      </c>
      <c r="AE150" s="19">
        <f>SUM(AF150:AZ150)</f>
        <v>0</v>
      </c>
      <c r="AF150" s="19">
        <v>0</v>
      </c>
      <c r="AG150" s="19">
        <v>0</v>
      </c>
      <c r="AH150" s="23">
        <v>0</v>
      </c>
      <c r="AI150" s="23">
        <v>0</v>
      </c>
      <c r="AJ150" s="23">
        <v>0</v>
      </c>
      <c r="AK150" s="23">
        <v>0</v>
      </c>
      <c r="AL150" s="23">
        <v>0</v>
      </c>
      <c r="AM150" s="23">
        <v>0</v>
      </c>
      <c r="AN150" s="23">
        <v>0</v>
      </c>
      <c r="AO150" s="23">
        <v>0</v>
      </c>
      <c r="AP150" s="23">
        <v>0</v>
      </c>
      <c r="AQ150" s="23">
        <v>0</v>
      </c>
      <c r="AR150" s="23">
        <v>0</v>
      </c>
      <c r="AS150" s="23">
        <v>0</v>
      </c>
      <c r="AT150" s="23">
        <v>0</v>
      </c>
      <c r="AU150" s="23">
        <v>0</v>
      </c>
      <c r="AV150" s="23">
        <v>0</v>
      </c>
      <c r="AW150" s="23">
        <v>0</v>
      </c>
      <c r="AX150" s="23">
        <v>0</v>
      </c>
      <c r="AY150" s="23">
        <v>0</v>
      </c>
      <c r="AZ150" s="23">
        <v>0</v>
      </c>
      <c r="BA150" s="19">
        <f>SUM(BB150+BF150+BI150+BK150+BN150)</f>
        <v>0</v>
      </c>
      <c r="BB150" s="19">
        <f>SUM(BC150:BE150)</f>
        <v>0</v>
      </c>
      <c r="BC150" s="19">
        <v>0</v>
      </c>
      <c r="BD150" s="19">
        <v>0</v>
      </c>
      <c r="BE150" s="19">
        <v>0</v>
      </c>
      <c r="BF150" s="19">
        <f t="shared" si="321"/>
        <v>0</v>
      </c>
      <c r="BG150" s="19">
        <v>0</v>
      </c>
      <c r="BH150" s="19">
        <v>0</v>
      </c>
      <c r="BI150" s="19">
        <v>0</v>
      </c>
      <c r="BJ150" s="19">
        <v>0</v>
      </c>
      <c r="BK150" s="19">
        <f>SUM(BL150)</f>
        <v>0</v>
      </c>
      <c r="BL150" s="19">
        <v>0</v>
      </c>
      <c r="BM150" s="19">
        <v>0</v>
      </c>
      <c r="BN150" s="19">
        <f t="shared" si="322"/>
        <v>0</v>
      </c>
      <c r="BO150" s="19"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19">
        <v>0</v>
      </c>
      <c r="BW150" s="19">
        <v>0</v>
      </c>
      <c r="BX150" s="19">
        <v>0</v>
      </c>
      <c r="BY150" s="19">
        <v>0</v>
      </c>
      <c r="BZ150" s="19">
        <f>SUM(CA150+CO150)</f>
        <v>14514</v>
      </c>
      <c r="CA150" s="19">
        <f>SUM(CB150+CE150+CK150)</f>
        <v>14514</v>
      </c>
      <c r="CB150" s="19">
        <f>SUM(CC150:CD150)</f>
        <v>14514</v>
      </c>
      <c r="CC150" s="19">
        <v>0</v>
      </c>
      <c r="CD150" s="23">
        <v>14514</v>
      </c>
      <c r="CE150" s="19">
        <f t="shared" si="323"/>
        <v>0</v>
      </c>
      <c r="CF150" s="19">
        <v>0</v>
      </c>
      <c r="CG150" s="19">
        <v>0</v>
      </c>
      <c r="CH150" s="19">
        <v>0</v>
      </c>
      <c r="CI150" s="19">
        <v>0</v>
      </c>
      <c r="CJ150" s="19">
        <v>0</v>
      </c>
      <c r="CK150" s="19">
        <f>SUM(CL150:CN150)</f>
        <v>0</v>
      </c>
      <c r="CL150" s="19">
        <v>0</v>
      </c>
      <c r="CM150" s="19">
        <v>0</v>
      </c>
      <c r="CN150" s="19"/>
      <c r="CO150" s="19">
        <v>0</v>
      </c>
      <c r="CP150" s="75"/>
      <c r="CQ150" s="75"/>
      <c r="CR150" s="75"/>
      <c r="CS150" s="19">
        <f>SUM(CT150)</f>
        <v>0</v>
      </c>
      <c r="CT150" s="19">
        <f>SUM(CU150:CV150)</f>
        <v>0</v>
      </c>
      <c r="CU150" s="19">
        <v>0</v>
      </c>
      <c r="CV150" s="20">
        <v>0</v>
      </c>
      <c r="CW150" s="52"/>
    </row>
    <row r="151" spans="1:101" s="58" customFormat="1" ht="31.2" x14ac:dyDescent="0.3">
      <c r="A151" s="105" t="s">
        <v>1</v>
      </c>
      <c r="B151" s="21" t="s">
        <v>70</v>
      </c>
      <c r="C151" s="22" t="s">
        <v>484</v>
      </c>
      <c r="D151" s="19">
        <f>SUM(E151+BZ151+CS151)</f>
        <v>547703</v>
      </c>
      <c r="E151" s="19">
        <f>SUM(F151+BA151)</f>
        <v>547703</v>
      </c>
      <c r="F151" s="19">
        <f t="shared" si="318"/>
        <v>547703</v>
      </c>
      <c r="G151" s="23">
        <v>0</v>
      </c>
      <c r="H151" s="23">
        <v>0</v>
      </c>
      <c r="I151" s="19">
        <f t="shared" ref="I151" si="324">SUM(J151:O151)</f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19">
        <f t="shared" ref="P151" si="325">SUM(Q151:R151)</f>
        <v>0</v>
      </c>
      <c r="Q151" s="23">
        <v>0</v>
      </c>
      <c r="R151" s="23">
        <v>0</v>
      </c>
      <c r="S151" s="23">
        <v>0</v>
      </c>
      <c r="T151" s="23">
        <v>0</v>
      </c>
      <c r="U151" s="19">
        <f t="shared" si="319"/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  <c r="AD151" s="23">
        <v>0</v>
      </c>
      <c r="AE151" s="19">
        <f>SUM(AF151:AZ151)</f>
        <v>547703</v>
      </c>
      <c r="AF151" s="19">
        <v>0</v>
      </c>
      <c r="AG151" s="19">
        <v>0</v>
      </c>
      <c r="AH151" s="23">
        <v>0</v>
      </c>
      <c r="AI151" s="23">
        <v>0</v>
      </c>
      <c r="AJ151" s="23">
        <v>0</v>
      </c>
      <c r="AK151" s="23">
        <v>0</v>
      </c>
      <c r="AL151" s="23">
        <v>0</v>
      </c>
      <c r="AM151" s="23">
        <v>0</v>
      </c>
      <c r="AN151" s="23">
        <v>0</v>
      </c>
      <c r="AO151" s="23">
        <v>0</v>
      </c>
      <c r="AP151" s="23">
        <v>0</v>
      </c>
      <c r="AQ151" s="23">
        <v>0</v>
      </c>
      <c r="AR151" s="23">
        <v>0</v>
      </c>
      <c r="AS151" s="23">
        <v>0</v>
      </c>
      <c r="AT151" s="23">
        <v>0</v>
      </c>
      <c r="AU151" s="23">
        <v>0</v>
      </c>
      <c r="AV151" s="23">
        <v>0</v>
      </c>
      <c r="AW151" s="23">
        <v>0</v>
      </c>
      <c r="AX151" s="23">
        <v>0</v>
      </c>
      <c r="AY151" s="23">
        <v>0</v>
      </c>
      <c r="AZ151" s="23">
        <v>547703</v>
      </c>
      <c r="BA151" s="19">
        <f>SUM(BB151+BF151+BI151+BK151+BN151)</f>
        <v>0</v>
      </c>
      <c r="BB151" s="19">
        <f t="shared" si="320"/>
        <v>0</v>
      </c>
      <c r="BC151" s="19">
        <v>0</v>
      </c>
      <c r="BD151" s="19">
        <v>0</v>
      </c>
      <c r="BE151" s="19">
        <v>0</v>
      </c>
      <c r="BF151" s="19">
        <f t="shared" si="321"/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f t="shared" ref="BK151" si="326">SUM(BL151)</f>
        <v>0</v>
      </c>
      <c r="BL151" s="19">
        <v>0</v>
      </c>
      <c r="BM151" s="19">
        <v>0</v>
      </c>
      <c r="BN151" s="19">
        <f t="shared" si="322"/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f>SUM(CA151+CO151)</f>
        <v>0</v>
      </c>
      <c r="CA151" s="19">
        <f>SUM(CB151+CE151+CK151)</f>
        <v>0</v>
      </c>
      <c r="CB151" s="19">
        <f t="shared" ref="CB151" si="327">SUM(CC151:CD151)</f>
        <v>0</v>
      </c>
      <c r="CC151" s="19">
        <v>0</v>
      </c>
      <c r="CD151" s="23">
        <v>0</v>
      </c>
      <c r="CE151" s="19">
        <f t="shared" si="323"/>
        <v>0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f>SUM(CL151:CN151)</f>
        <v>0</v>
      </c>
      <c r="CL151" s="19">
        <v>0</v>
      </c>
      <c r="CM151" s="19">
        <v>0</v>
      </c>
      <c r="CN151" s="19"/>
      <c r="CO151" s="19">
        <v>0</v>
      </c>
      <c r="CP151" s="75"/>
      <c r="CQ151" s="75"/>
      <c r="CR151" s="75"/>
      <c r="CS151" s="19">
        <f t="shared" ref="CS151" si="328">SUM(CT151)</f>
        <v>0</v>
      </c>
      <c r="CT151" s="19">
        <f t="shared" ref="CT151" si="329">SUM(CU151:CV151)</f>
        <v>0</v>
      </c>
      <c r="CU151" s="19">
        <v>0</v>
      </c>
      <c r="CV151" s="20">
        <v>0</v>
      </c>
      <c r="CW151" s="52"/>
    </row>
    <row r="152" spans="1:101" s="58" customFormat="1" ht="31.2" x14ac:dyDescent="0.3">
      <c r="A152" s="106" t="s">
        <v>1</v>
      </c>
      <c r="B152" s="25" t="s">
        <v>1</v>
      </c>
      <c r="C152" s="26" t="s">
        <v>224</v>
      </c>
      <c r="D152" s="27">
        <f t="shared" ref="D152:F152" si="330">SUM(D153+D156+D159)</f>
        <v>43504107</v>
      </c>
      <c r="E152" s="27">
        <f t="shared" si="330"/>
        <v>43480653</v>
      </c>
      <c r="F152" s="27">
        <f t="shared" si="330"/>
        <v>43480653</v>
      </c>
      <c r="G152" s="27">
        <f>SUM(G153+G156+G159)</f>
        <v>28183481</v>
      </c>
      <c r="H152" s="27">
        <f t="shared" ref="H152:BT152" si="331">SUM(H153+H156+H159)</f>
        <v>6776312</v>
      </c>
      <c r="I152" s="27">
        <f t="shared" si="331"/>
        <v>668411</v>
      </c>
      <c r="J152" s="27">
        <f t="shared" si="331"/>
        <v>0</v>
      </c>
      <c r="K152" s="27">
        <f t="shared" si="331"/>
        <v>0</v>
      </c>
      <c r="L152" s="27">
        <f t="shared" si="331"/>
        <v>0</v>
      </c>
      <c r="M152" s="27">
        <f t="shared" si="331"/>
        <v>0</v>
      </c>
      <c r="N152" s="27">
        <f t="shared" si="331"/>
        <v>642151</v>
      </c>
      <c r="O152" s="27">
        <f t="shared" si="331"/>
        <v>26260</v>
      </c>
      <c r="P152" s="27">
        <f t="shared" si="331"/>
        <v>28347</v>
      </c>
      <c r="Q152" s="27">
        <f t="shared" si="331"/>
        <v>0</v>
      </c>
      <c r="R152" s="27">
        <f t="shared" si="331"/>
        <v>28347</v>
      </c>
      <c r="S152" s="27">
        <f t="shared" si="331"/>
        <v>0</v>
      </c>
      <c r="T152" s="27">
        <f t="shared" si="331"/>
        <v>148457</v>
      </c>
      <c r="U152" s="27">
        <f t="shared" si="331"/>
        <v>169906</v>
      </c>
      <c r="V152" s="27">
        <f t="shared" si="331"/>
        <v>1300</v>
      </c>
      <c r="W152" s="27">
        <f t="shared" si="331"/>
        <v>2365</v>
      </c>
      <c r="X152" s="27">
        <f t="shared" si="331"/>
        <v>85973</v>
      </c>
      <c r="Y152" s="27">
        <f t="shared" si="331"/>
        <v>268</v>
      </c>
      <c r="Z152" s="27">
        <f t="shared" si="331"/>
        <v>0</v>
      </c>
      <c r="AA152" s="27">
        <f t="shared" si="331"/>
        <v>80000</v>
      </c>
      <c r="AB152" s="27">
        <f t="shared" si="331"/>
        <v>0</v>
      </c>
      <c r="AC152" s="27">
        <f t="shared" si="331"/>
        <v>0</v>
      </c>
      <c r="AD152" s="27">
        <f t="shared" si="331"/>
        <v>0</v>
      </c>
      <c r="AE152" s="27">
        <f t="shared" si="331"/>
        <v>7505739</v>
      </c>
      <c r="AF152" s="27">
        <f t="shared" si="331"/>
        <v>0</v>
      </c>
      <c r="AG152" s="27">
        <f t="shared" si="331"/>
        <v>0</v>
      </c>
      <c r="AH152" s="27">
        <f t="shared" si="331"/>
        <v>0</v>
      </c>
      <c r="AI152" s="27">
        <f t="shared" si="331"/>
        <v>0</v>
      </c>
      <c r="AJ152" s="27">
        <f t="shared" si="331"/>
        <v>0</v>
      </c>
      <c r="AK152" s="27">
        <f t="shared" si="331"/>
        <v>0</v>
      </c>
      <c r="AL152" s="27">
        <f t="shared" si="331"/>
        <v>0</v>
      </c>
      <c r="AM152" s="27">
        <f t="shared" si="331"/>
        <v>0</v>
      </c>
      <c r="AN152" s="27">
        <f t="shared" si="331"/>
        <v>2050169</v>
      </c>
      <c r="AO152" s="27">
        <f t="shared" si="331"/>
        <v>0</v>
      </c>
      <c r="AP152" s="27">
        <f t="shared" si="331"/>
        <v>0</v>
      </c>
      <c r="AQ152" s="27">
        <f t="shared" si="331"/>
        <v>0</v>
      </c>
      <c r="AR152" s="27">
        <f t="shared" si="331"/>
        <v>49701</v>
      </c>
      <c r="AS152" s="27">
        <f t="shared" si="331"/>
        <v>0</v>
      </c>
      <c r="AT152" s="27">
        <f t="shared" si="331"/>
        <v>0</v>
      </c>
      <c r="AU152" s="27">
        <f t="shared" si="331"/>
        <v>0</v>
      </c>
      <c r="AV152" s="27">
        <f t="shared" si="331"/>
        <v>0</v>
      </c>
      <c r="AW152" s="27">
        <f t="shared" si="331"/>
        <v>0</v>
      </c>
      <c r="AX152" s="27">
        <f t="shared" si="331"/>
        <v>0</v>
      </c>
      <c r="AY152" s="27">
        <f t="shared" si="331"/>
        <v>0</v>
      </c>
      <c r="AZ152" s="27">
        <f t="shared" si="331"/>
        <v>5405869</v>
      </c>
      <c r="BA152" s="27">
        <f t="shared" si="331"/>
        <v>0</v>
      </c>
      <c r="BB152" s="27">
        <f t="shared" si="331"/>
        <v>0</v>
      </c>
      <c r="BC152" s="27">
        <f t="shared" si="331"/>
        <v>0</v>
      </c>
      <c r="BD152" s="27">
        <f t="shared" si="331"/>
        <v>0</v>
      </c>
      <c r="BE152" s="27">
        <f t="shared" si="331"/>
        <v>0</v>
      </c>
      <c r="BF152" s="27">
        <f t="shared" si="331"/>
        <v>0</v>
      </c>
      <c r="BG152" s="27">
        <f t="shared" si="331"/>
        <v>0</v>
      </c>
      <c r="BH152" s="27">
        <f t="shared" si="331"/>
        <v>0</v>
      </c>
      <c r="BI152" s="27">
        <f t="shared" si="331"/>
        <v>0</v>
      </c>
      <c r="BJ152" s="27">
        <f t="shared" ref="BJ152" si="332">SUM(BJ153+BJ156+BJ159)</f>
        <v>0</v>
      </c>
      <c r="BK152" s="27">
        <f t="shared" si="331"/>
        <v>0</v>
      </c>
      <c r="BL152" s="27">
        <f t="shared" si="331"/>
        <v>0</v>
      </c>
      <c r="BM152" s="27">
        <f t="shared" si="331"/>
        <v>0</v>
      </c>
      <c r="BN152" s="27">
        <f t="shared" si="331"/>
        <v>0</v>
      </c>
      <c r="BO152" s="27">
        <f t="shared" si="331"/>
        <v>0</v>
      </c>
      <c r="BP152" s="27">
        <f t="shared" si="331"/>
        <v>0</v>
      </c>
      <c r="BQ152" s="27">
        <f t="shared" si="331"/>
        <v>0</v>
      </c>
      <c r="BR152" s="27">
        <f t="shared" si="331"/>
        <v>0</v>
      </c>
      <c r="BS152" s="27">
        <f t="shared" si="331"/>
        <v>0</v>
      </c>
      <c r="BT152" s="27">
        <f t="shared" si="331"/>
        <v>0</v>
      </c>
      <c r="BU152" s="27">
        <f t="shared" ref="BU152:CV152" si="333">SUM(BU153+BU156+BU159)</f>
        <v>0</v>
      </c>
      <c r="BV152" s="27">
        <f t="shared" si="333"/>
        <v>0</v>
      </c>
      <c r="BW152" s="27">
        <f t="shared" si="333"/>
        <v>0</v>
      </c>
      <c r="BX152" s="27">
        <f t="shared" si="333"/>
        <v>0</v>
      </c>
      <c r="BY152" s="27">
        <f t="shared" si="333"/>
        <v>0</v>
      </c>
      <c r="BZ152" s="27">
        <f t="shared" si="333"/>
        <v>23454</v>
      </c>
      <c r="CA152" s="27">
        <f t="shared" si="333"/>
        <v>23454</v>
      </c>
      <c r="CB152" s="27">
        <f t="shared" si="333"/>
        <v>23454</v>
      </c>
      <c r="CC152" s="27">
        <f t="shared" si="333"/>
        <v>0</v>
      </c>
      <c r="CD152" s="27">
        <f t="shared" si="333"/>
        <v>23454</v>
      </c>
      <c r="CE152" s="27">
        <f t="shared" si="333"/>
        <v>0</v>
      </c>
      <c r="CF152" s="27">
        <f t="shared" si="333"/>
        <v>0</v>
      </c>
      <c r="CG152" s="27">
        <f t="shared" si="333"/>
        <v>0</v>
      </c>
      <c r="CH152" s="27">
        <f t="shared" si="333"/>
        <v>0</v>
      </c>
      <c r="CI152" s="27">
        <f t="shared" si="333"/>
        <v>0</v>
      </c>
      <c r="CJ152" s="27">
        <f t="shared" si="333"/>
        <v>0</v>
      </c>
      <c r="CK152" s="27">
        <f t="shared" si="333"/>
        <v>0</v>
      </c>
      <c r="CL152" s="27">
        <f t="shared" si="333"/>
        <v>0</v>
      </c>
      <c r="CM152" s="27">
        <f t="shared" si="333"/>
        <v>0</v>
      </c>
      <c r="CN152" s="27">
        <f t="shared" si="333"/>
        <v>0</v>
      </c>
      <c r="CO152" s="27">
        <f t="shared" si="333"/>
        <v>0</v>
      </c>
      <c r="CP152" s="27">
        <f t="shared" si="333"/>
        <v>0</v>
      </c>
      <c r="CQ152" s="27">
        <f t="shared" si="333"/>
        <v>0</v>
      </c>
      <c r="CR152" s="27">
        <f t="shared" si="333"/>
        <v>0</v>
      </c>
      <c r="CS152" s="27">
        <f t="shared" si="333"/>
        <v>0</v>
      </c>
      <c r="CT152" s="27">
        <f t="shared" si="333"/>
        <v>0</v>
      </c>
      <c r="CU152" s="27">
        <f t="shared" si="333"/>
        <v>0</v>
      </c>
      <c r="CV152" s="60">
        <f t="shared" si="333"/>
        <v>0</v>
      </c>
      <c r="CW152" s="57"/>
    </row>
    <row r="153" spans="1:101" ht="15.6" x14ac:dyDescent="0.3">
      <c r="A153" s="104" t="s">
        <v>225</v>
      </c>
      <c r="B153" s="16" t="s">
        <v>1</v>
      </c>
      <c r="C153" s="17" t="s">
        <v>226</v>
      </c>
      <c r="D153" s="18">
        <f t="shared" ref="D153:AS153" si="334">SUM(D154:D155)</f>
        <v>33779089</v>
      </c>
      <c r="E153" s="18">
        <f t="shared" si="334"/>
        <v>33779089</v>
      </c>
      <c r="F153" s="18">
        <f t="shared" si="334"/>
        <v>33779089</v>
      </c>
      <c r="G153" s="18">
        <f t="shared" si="334"/>
        <v>22052896</v>
      </c>
      <c r="H153" s="18">
        <f t="shared" si="334"/>
        <v>5319449</v>
      </c>
      <c r="I153" s="18">
        <f t="shared" si="334"/>
        <v>636919</v>
      </c>
      <c r="J153" s="18">
        <f t="shared" si="334"/>
        <v>0</v>
      </c>
      <c r="K153" s="18">
        <f t="shared" si="334"/>
        <v>0</v>
      </c>
      <c r="L153" s="18">
        <f t="shared" si="334"/>
        <v>0</v>
      </c>
      <c r="M153" s="18">
        <f t="shared" si="334"/>
        <v>0</v>
      </c>
      <c r="N153" s="18">
        <f t="shared" si="334"/>
        <v>610659</v>
      </c>
      <c r="O153" s="18">
        <f t="shared" si="334"/>
        <v>26260</v>
      </c>
      <c r="P153" s="18">
        <f t="shared" si="334"/>
        <v>28347</v>
      </c>
      <c r="Q153" s="18">
        <f t="shared" si="334"/>
        <v>0</v>
      </c>
      <c r="R153" s="18">
        <f t="shared" si="334"/>
        <v>28347</v>
      </c>
      <c r="S153" s="18">
        <f t="shared" si="334"/>
        <v>0</v>
      </c>
      <c r="T153" s="18">
        <f t="shared" si="334"/>
        <v>121587</v>
      </c>
      <c r="U153" s="18">
        <f t="shared" si="334"/>
        <v>164321</v>
      </c>
      <c r="V153" s="18">
        <f t="shared" si="334"/>
        <v>0</v>
      </c>
      <c r="W153" s="18">
        <f t="shared" si="334"/>
        <v>0</v>
      </c>
      <c r="X153" s="18">
        <f t="shared" si="334"/>
        <v>84321</v>
      </c>
      <c r="Y153" s="18">
        <f t="shared" si="334"/>
        <v>0</v>
      </c>
      <c r="Z153" s="18">
        <f t="shared" si="334"/>
        <v>0</v>
      </c>
      <c r="AA153" s="18">
        <f t="shared" si="334"/>
        <v>80000</v>
      </c>
      <c r="AB153" s="18">
        <f t="shared" si="334"/>
        <v>0</v>
      </c>
      <c r="AC153" s="18">
        <f t="shared" si="334"/>
        <v>0</v>
      </c>
      <c r="AD153" s="18">
        <f t="shared" si="334"/>
        <v>0</v>
      </c>
      <c r="AE153" s="18">
        <f t="shared" si="334"/>
        <v>5455570</v>
      </c>
      <c r="AF153" s="18">
        <f t="shared" si="334"/>
        <v>0</v>
      </c>
      <c r="AG153" s="18">
        <f t="shared" si="334"/>
        <v>0</v>
      </c>
      <c r="AH153" s="18">
        <f t="shared" si="334"/>
        <v>0</v>
      </c>
      <c r="AI153" s="18">
        <f t="shared" si="334"/>
        <v>0</v>
      </c>
      <c r="AJ153" s="18">
        <f t="shared" si="334"/>
        <v>0</v>
      </c>
      <c r="AK153" s="18">
        <f t="shared" si="334"/>
        <v>0</v>
      </c>
      <c r="AL153" s="18">
        <f t="shared" si="334"/>
        <v>0</v>
      </c>
      <c r="AM153" s="18">
        <f t="shared" si="334"/>
        <v>0</v>
      </c>
      <c r="AN153" s="18">
        <f t="shared" si="334"/>
        <v>0</v>
      </c>
      <c r="AO153" s="18">
        <f t="shared" si="334"/>
        <v>0</v>
      </c>
      <c r="AP153" s="18">
        <f t="shared" si="334"/>
        <v>0</v>
      </c>
      <c r="AQ153" s="18">
        <f t="shared" si="334"/>
        <v>0</v>
      </c>
      <c r="AR153" s="18">
        <f t="shared" si="334"/>
        <v>49701</v>
      </c>
      <c r="AS153" s="18">
        <f t="shared" si="334"/>
        <v>0</v>
      </c>
      <c r="AT153" s="18"/>
      <c r="AU153" s="18"/>
      <c r="AV153" s="18">
        <f>SUM(AV154:AV155)</f>
        <v>0</v>
      </c>
      <c r="AW153" s="18">
        <f>SUM(AW154:AW155)</f>
        <v>0</v>
      </c>
      <c r="AX153" s="18">
        <f>SUM(AX154:AX155)</f>
        <v>0</v>
      </c>
      <c r="AY153" s="18"/>
      <c r="AZ153" s="18">
        <f t="shared" ref="AZ153:CM153" si="335">SUM(AZ154:AZ155)</f>
        <v>5405869</v>
      </c>
      <c r="BA153" s="18">
        <f t="shared" si="335"/>
        <v>0</v>
      </c>
      <c r="BB153" s="18">
        <f t="shared" si="335"/>
        <v>0</v>
      </c>
      <c r="BC153" s="18">
        <f t="shared" si="335"/>
        <v>0</v>
      </c>
      <c r="BD153" s="18">
        <f t="shared" si="335"/>
        <v>0</v>
      </c>
      <c r="BE153" s="18">
        <f t="shared" si="335"/>
        <v>0</v>
      </c>
      <c r="BF153" s="18">
        <f t="shared" si="335"/>
        <v>0</v>
      </c>
      <c r="BG153" s="18">
        <f t="shared" si="335"/>
        <v>0</v>
      </c>
      <c r="BH153" s="18">
        <f t="shared" si="335"/>
        <v>0</v>
      </c>
      <c r="BI153" s="18">
        <f t="shared" si="335"/>
        <v>0</v>
      </c>
      <c r="BJ153" s="18">
        <f t="shared" ref="BJ153" si="336">SUM(BJ154:BJ155)</f>
        <v>0</v>
      </c>
      <c r="BK153" s="18">
        <f t="shared" si="335"/>
        <v>0</v>
      </c>
      <c r="BL153" s="18">
        <f t="shared" si="335"/>
        <v>0</v>
      </c>
      <c r="BM153" s="18">
        <f t="shared" si="335"/>
        <v>0</v>
      </c>
      <c r="BN153" s="18">
        <f t="shared" si="335"/>
        <v>0</v>
      </c>
      <c r="BO153" s="18">
        <f t="shared" si="335"/>
        <v>0</v>
      </c>
      <c r="BP153" s="18">
        <f t="shared" si="335"/>
        <v>0</v>
      </c>
      <c r="BQ153" s="18">
        <f t="shared" si="335"/>
        <v>0</v>
      </c>
      <c r="BR153" s="18">
        <f t="shared" si="335"/>
        <v>0</v>
      </c>
      <c r="BS153" s="18">
        <f t="shared" si="335"/>
        <v>0</v>
      </c>
      <c r="BT153" s="18">
        <f t="shared" si="335"/>
        <v>0</v>
      </c>
      <c r="BU153" s="18">
        <f t="shared" si="335"/>
        <v>0</v>
      </c>
      <c r="BV153" s="18">
        <f t="shared" si="335"/>
        <v>0</v>
      </c>
      <c r="BW153" s="18">
        <f t="shared" si="335"/>
        <v>0</v>
      </c>
      <c r="BX153" s="18">
        <f t="shared" si="335"/>
        <v>0</v>
      </c>
      <c r="BY153" s="18">
        <f t="shared" si="335"/>
        <v>0</v>
      </c>
      <c r="BZ153" s="18">
        <f t="shared" si="335"/>
        <v>0</v>
      </c>
      <c r="CA153" s="18">
        <f t="shared" si="335"/>
        <v>0</v>
      </c>
      <c r="CB153" s="18">
        <f t="shared" si="335"/>
        <v>0</v>
      </c>
      <c r="CC153" s="18">
        <f t="shared" si="335"/>
        <v>0</v>
      </c>
      <c r="CD153" s="18">
        <f t="shared" si="335"/>
        <v>0</v>
      </c>
      <c r="CE153" s="18">
        <f t="shared" si="335"/>
        <v>0</v>
      </c>
      <c r="CF153" s="18">
        <f t="shared" si="335"/>
        <v>0</v>
      </c>
      <c r="CG153" s="18">
        <f t="shared" si="335"/>
        <v>0</v>
      </c>
      <c r="CH153" s="18">
        <f t="shared" si="335"/>
        <v>0</v>
      </c>
      <c r="CI153" s="18">
        <f t="shared" si="335"/>
        <v>0</v>
      </c>
      <c r="CJ153" s="18">
        <f t="shared" ref="CJ153" si="337">SUM(CJ154:CJ155)</f>
        <v>0</v>
      </c>
      <c r="CK153" s="18">
        <f t="shared" si="335"/>
        <v>0</v>
      </c>
      <c r="CL153" s="18">
        <f t="shared" si="335"/>
        <v>0</v>
      </c>
      <c r="CM153" s="18">
        <f t="shared" si="335"/>
        <v>0</v>
      </c>
      <c r="CN153" s="18"/>
      <c r="CO153" s="18">
        <f t="shared" ref="CO153:CV153" si="338">SUM(CO154:CO155)</f>
        <v>0</v>
      </c>
      <c r="CP153" s="74"/>
      <c r="CQ153" s="74"/>
      <c r="CR153" s="74"/>
      <c r="CS153" s="18">
        <f t="shared" si="338"/>
        <v>0</v>
      </c>
      <c r="CT153" s="18">
        <f t="shared" si="338"/>
        <v>0</v>
      </c>
      <c r="CU153" s="18">
        <f t="shared" si="338"/>
        <v>0</v>
      </c>
      <c r="CV153" s="46">
        <f t="shared" si="338"/>
        <v>0</v>
      </c>
      <c r="CW153" s="57"/>
    </row>
    <row r="154" spans="1:101" ht="31.2" x14ac:dyDescent="0.3">
      <c r="A154" s="105"/>
      <c r="B154" s="33" t="s">
        <v>78</v>
      </c>
      <c r="C154" s="32" t="s">
        <v>227</v>
      </c>
      <c r="D154" s="19">
        <f>SUM(E154+BZ154+CS154)</f>
        <v>28373220</v>
      </c>
      <c r="E154" s="19">
        <f>SUM(F154+BA154)</f>
        <v>28373220</v>
      </c>
      <c r="F154" s="19">
        <f>SUM(G154+H154+I154+P154+S154+T154+U154+AE154+AD154)</f>
        <v>28373220</v>
      </c>
      <c r="G154" s="23">
        <v>22052896</v>
      </c>
      <c r="H154" s="23">
        <v>5319449</v>
      </c>
      <c r="I154" s="19">
        <f t="shared" ref="I154" si="339">SUM(J154:O154)</f>
        <v>636919</v>
      </c>
      <c r="J154" s="23">
        <v>0</v>
      </c>
      <c r="K154" s="23">
        <v>0</v>
      </c>
      <c r="L154" s="23">
        <v>0</v>
      </c>
      <c r="M154" s="23">
        <v>0</v>
      </c>
      <c r="N154" s="23">
        <v>610659</v>
      </c>
      <c r="O154" s="23">
        <v>26260</v>
      </c>
      <c r="P154" s="19">
        <f t="shared" ref="P154" si="340">SUM(Q154:R154)</f>
        <v>28347</v>
      </c>
      <c r="Q154" s="19">
        <v>0</v>
      </c>
      <c r="R154" s="35">
        <v>28347</v>
      </c>
      <c r="S154" s="35">
        <v>0</v>
      </c>
      <c r="T154" s="35">
        <v>121587</v>
      </c>
      <c r="U154" s="19">
        <f t="shared" ref="U154" si="341">SUM(V154:AC154)</f>
        <v>164321</v>
      </c>
      <c r="V154" s="23"/>
      <c r="W154" s="23"/>
      <c r="X154" s="23">
        <v>84321</v>
      </c>
      <c r="Y154" s="23">
        <v>0</v>
      </c>
      <c r="Z154" s="23">
        <v>0</v>
      </c>
      <c r="AA154" s="23">
        <v>80000</v>
      </c>
      <c r="AB154" s="23">
        <v>0</v>
      </c>
      <c r="AC154" s="23">
        <v>0</v>
      </c>
      <c r="AD154" s="23">
        <v>0</v>
      </c>
      <c r="AE154" s="19">
        <f>SUM(AF154:AZ154)</f>
        <v>49701</v>
      </c>
      <c r="AF154" s="19">
        <v>0</v>
      </c>
      <c r="AG154" s="19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0</v>
      </c>
      <c r="AN154" s="23">
        <v>0</v>
      </c>
      <c r="AO154" s="23">
        <v>0</v>
      </c>
      <c r="AP154" s="23">
        <v>0</v>
      </c>
      <c r="AQ154" s="23">
        <v>0</v>
      </c>
      <c r="AR154" s="23">
        <v>49701</v>
      </c>
      <c r="AS154" s="23">
        <v>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v>0</v>
      </c>
      <c r="BA154" s="19">
        <f>SUM(BB154+BF154+BI154+BK154+BN154)</f>
        <v>0</v>
      </c>
      <c r="BB154" s="19">
        <f>SUM(BC154:BE154)</f>
        <v>0</v>
      </c>
      <c r="BC154" s="19">
        <v>0</v>
      </c>
      <c r="BD154" s="19">
        <v>0</v>
      </c>
      <c r="BE154" s="19">
        <v>0</v>
      </c>
      <c r="BF154" s="19">
        <f>SUM(BH154:BH154)</f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ref="BK154" si="342">SUM(BL154)</f>
        <v>0</v>
      </c>
      <c r="BL154" s="19">
        <v>0</v>
      </c>
      <c r="BM154" s="19">
        <v>0</v>
      </c>
      <c r="BN154" s="19">
        <f>SUM(BO154:BY154)</f>
        <v>0</v>
      </c>
      <c r="BO154" s="19">
        <v>0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SUM(CA154+CO154)</f>
        <v>0</v>
      </c>
      <c r="CA154" s="19">
        <f>SUM(CB154+CE154+CK154)</f>
        <v>0</v>
      </c>
      <c r="CB154" s="19">
        <f t="shared" ref="CB154" si="343">SUM(CC154:CD154)</f>
        <v>0</v>
      </c>
      <c r="CC154" s="19">
        <v>0</v>
      </c>
      <c r="CD154" s="23"/>
      <c r="CE154" s="19">
        <f>SUM(CF154:CJ154)</f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>SUM(CL154:CN154)</f>
        <v>0</v>
      </c>
      <c r="CL154" s="19">
        <v>0</v>
      </c>
      <c r="CM154" s="19">
        <v>0</v>
      </c>
      <c r="CN154" s="19"/>
      <c r="CO154" s="19">
        <v>0</v>
      </c>
      <c r="CP154" s="75"/>
      <c r="CQ154" s="75"/>
      <c r="CR154" s="75"/>
      <c r="CS154" s="19">
        <f t="shared" ref="CS154" si="344">SUM(CT154)</f>
        <v>0</v>
      </c>
      <c r="CT154" s="19">
        <f t="shared" ref="CT154" si="345">SUM(CU154:CV154)</f>
        <v>0</v>
      </c>
      <c r="CU154" s="19">
        <v>0</v>
      </c>
      <c r="CV154" s="20">
        <v>0</v>
      </c>
      <c r="CW154" s="52"/>
    </row>
    <row r="155" spans="1:101" s="58" customFormat="1" ht="31.2" x14ac:dyDescent="0.3">
      <c r="A155" s="105" t="s">
        <v>1</v>
      </c>
      <c r="B155" s="33" t="s">
        <v>78</v>
      </c>
      <c r="C155" s="32" t="s">
        <v>228</v>
      </c>
      <c r="D155" s="19">
        <f>SUM(E155+BZ155+CS155)</f>
        <v>5405869</v>
      </c>
      <c r="E155" s="19">
        <f>SUM(F155+BA155)</f>
        <v>5405869</v>
      </c>
      <c r="F155" s="19">
        <f>SUM(G155+H155+I155+P155+S155+T155+U155+AE155+AD155)</f>
        <v>5405869</v>
      </c>
      <c r="G155" s="23"/>
      <c r="H155" s="23"/>
      <c r="I155" s="19">
        <f t="shared" si="307"/>
        <v>0</v>
      </c>
      <c r="J155" s="23">
        <v>0</v>
      </c>
      <c r="K155" s="23">
        <v>0</v>
      </c>
      <c r="L155" s="23">
        <v>0</v>
      </c>
      <c r="M155" s="23">
        <v>0</v>
      </c>
      <c r="N155" s="23"/>
      <c r="O155" s="23"/>
      <c r="P155" s="19">
        <f t="shared" si="308"/>
        <v>0</v>
      </c>
      <c r="Q155" s="19">
        <v>0</v>
      </c>
      <c r="R155" s="23">
        <v>0</v>
      </c>
      <c r="S155" s="23">
        <v>0</v>
      </c>
      <c r="T155" s="23">
        <v>0</v>
      </c>
      <c r="U155" s="19">
        <f t="shared" ref="U155" si="346">SUM(V155:AC155)</f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19">
        <f>SUM(AF155:AZ155)</f>
        <v>5405869</v>
      </c>
      <c r="AF155" s="19">
        <v>0</v>
      </c>
      <c r="AG155" s="19">
        <v>0</v>
      </c>
      <c r="AH155" s="23">
        <v>0</v>
      </c>
      <c r="AI155" s="23">
        <v>0</v>
      </c>
      <c r="AJ155" s="23">
        <v>0</v>
      </c>
      <c r="AK155" s="23">
        <v>0</v>
      </c>
      <c r="AL155" s="23">
        <v>0</v>
      </c>
      <c r="AM155" s="23">
        <v>0</v>
      </c>
      <c r="AN155" s="23">
        <v>0</v>
      </c>
      <c r="AO155" s="23">
        <v>0</v>
      </c>
      <c r="AP155" s="23">
        <v>0</v>
      </c>
      <c r="AQ155" s="23">
        <v>0</v>
      </c>
      <c r="AR155" s="23">
        <v>0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5405869</v>
      </c>
      <c r="BA155" s="19">
        <f>SUM(BB155+BF155+BI155+BK155+BN155)</f>
        <v>0</v>
      </c>
      <c r="BB155" s="19">
        <f>SUM(BC155:BE155)</f>
        <v>0</v>
      </c>
      <c r="BC155" s="19">
        <v>0</v>
      </c>
      <c r="BD155" s="19">
        <v>0</v>
      </c>
      <c r="BE155" s="19">
        <v>0</v>
      </c>
      <c r="BF155" s="19">
        <f>SUM(BH155:BH155)</f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 t="shared" si="310"/>
        <v>0</v>
      </c>
      <c r="BL155" s="19">
        <v>0</v>
      </c>
      <c r="BM155" s="19">
        <v>0</v>
      </c>
      <c r="BN155" s="19">
        <f>SUM(BO155:BY155)</f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SUM(CA155+CO155)</f>
        <v>0</v>
      </c>
      <c r="CA155" s="19">
        <f>SUM(CB155+CE155+CK155)</f>
        <v>0</v>
      </c>
      <c r="CB155" s="19">
        <f t="shared" si="311"/>
        <v>0</v>
      </c>
      <c r="CC155" s="19">
        <v>0</v>
      </c>
      <c r="CD155" s="19"/>
      <c r="CE155" s="19">
        <f>SUM(CF155:CJ155)</f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>SUM(CL155:CN155)</f>
        <v>0</v>
      </c>
      <c r="CL155" s="19">
        <v>0</v>
      </c>
      <c r="CM155" s="19">
        <v>0</v>
      </c>
      <c r="CN155" s="19"/>
      <c r="CO155" s="19">
        <v>0</v>
      </c>
      <c r="CP155" s="75"/>
      <c r="CQ155" s="75"/>
      <c r="CR155" s="75"/>
      <c r="CS155" s="19">
        <f t="shared" si="313"/>
        <v>0</v>
      </c>
      <c r="CT155" s="19">
        <f t="shared" si="314"/>
        <v>0</v>
      </c>
      <c r="CU155" s="19">
        <v>0</v>
      </c>
      <c r="CV155" s="20">
        <v>0</v>
      </c>
      <c r="CW155" s="52"/>
    </row>
    <row r="156" spans="1:101" ht="15.6" x14ac:dyDescent="0.3">
      <c r="A156" s="104" t="s">
        <v>229</v>
      </c>
      <c r="B156" s="16" t="s">
        <v>1</v>
      </c>
      <c r="C156" s="17" t="s">
        <v>230</v>
      </c>
      <c r="D156" s="18">
        <f t="shared" ref="D156:AS156" si="347">SUM(D157:D158)</f>
        <v>9245784</v>
      </c>
      <c r="E156" s="18">
        <f t="shared" si="347"/>
        <v>9245784</v>
      </c>
      <c r="F156" s="18">
        <f t="shared" si="347"/>
        <v>9245784</v>
      </c>
      <c r="G156" s="18">
        <f t="shared" si="347"/>
        <v>5774770</v>
      </c>
      <c r="H156" s="18">
        <f t="shared" si="347"/>
        <v>1372508</v>
      </c>
      <c r="I156" s="18">
        <f t="shared" si="347"/>
        <v>31492</v>
      </c>
      <c r="J156" s="18">
        <f t="shared" si="347"/>
        <v>0</v>
      </c>
      <c r="K156" s="18">
        <f t="shared" si="347"/>
        <v>0</v>
      </c>
      <c r="L156" s="18">
        <f t="shared" si="347"/>
        <v>0</v>
      </c>
      <c r="M156" s="18">
        <f t="shared" si="347"/>
        <v>0</v>
      </c>
      <c r="N156" s="18">
        <f>N157+N158</f>
        <v>31492</v>
      </c>
      <c r="O156" s="18">
        <f>O157+O158</f>
        <v>0</v>
      </c>
      <c r="P156" s="18">
        <f t="shared" si="347"/>
        <v>0</v>
      </c>
      <c r="Q156" s="18">
        <f t="shared" si="347"/>
        <v>0</v>
      </c>
      <c r="R156" s="18">
        <f t="shared" si="347"/>
        <v>0</v>
      </c>
      <c r="S156" s="18">
        <f t="shared" si="347"/>
        <v>0</v>
      </c>
      <c r="T156" s="18">
        <f>T157+T158</f>
        <v>16845</v>
      </c>
      <c r="U156" s="18">
        <f t="shared" si="347"/>
        <v>0</v>
      </c>
      <c r="V156" s="18">
        <f t="shared" si="347"/>
        <v>0</v>
      </c>
      <c r="W156" s="18">
        <f t="shared" si="347"/>
        <v>0</v>
      </c>
      <c r="X156" s="18">
        <f t="shared" si="347"/>
        <v>0</v>
      </c>
      <c r="Y156" s="18">
        <f t="shared" si="347"/>
        <v>0</v>
      </c>
      <c r="Z156" s="18">
        <f t="shared" si="347"/>
        <v>0</v>
      </c>
      <c r="AA156" s="18">
        <f t="shared" si="347"/>
        <v>0</v>
      </c>
      <c r="AB156" s="18">
        <f t="shared" si="347"/>
        <v>0</v>
      </c>
      <c r="AC156" s="18">
        <f t="shared" si="347"/>
        <v>0</v>
      </c>
      <c r="AD156" s="18">
        <f t="shared" si="347"/>
        <v>0</v>
      </c>
      <c r="AE156" s="18">
        <f t="shared" si="347"/>
        <v>2050169</v>
      </c>
      <c r="AF156" s="18">
        <f t="shared" si="347"/>
        <v>0</v>
      </c>
      <c r="AG156" s="18">
        <f t="shared" si="347"/>
        <v>0</v>
      </c>
      <c r="AH156" s="18">
        <f t="shared" si="347"/>
        <v>0</v>
      </c>
      <c r="AI156" s="18">
        <f t="shared" si="347"/>
        <v>0</v>
      </c>
      <c r="AJ156" s="18">
        <f t="shared" si="347"/>
        <v>0</v>
      </c>
      <c r="AK156" s="18">
        <f t="shared" si="347"/>
        <v>0</v>
      </c>
      <c r="AL156" s="18">
        <f t="shared" si="347"/>
        <v>0</v>
      </c>
      <c r="AM156" s="18">
        <f t="shared" si="347"/>
        <v>0</v>
      </c>
      <c r="AN156" s="18">
        <f t="shared" si="347"/>
        <v>2050169</v>
      </c>
      <c r="AO156" s="18">
        <f t="shared" si="347"/>
        <v>0</v>
      </c>
      <c r="AP156" s="18">
        <f t="shared" si="347"/>
        <v>0</v>
      </c>
      <c r="AQ156" s="18">
        <f t="shared" si="347"/>
        <v>0</v>
      </c>
      <c r="AR156" s="18">
        <f t="shared" si="347"/>
        <v>0</v>
      </c>
      <c r="AS156" s="18">
        <f t="shared" si="347"/>
        <v>0</v>
      </c>
      <c r="AT156" s="18"/>
      <c r="AU156" s="18"/>
      <c r="AV156" s="18">
        <f>SUM(AV157:AV158)</f>
        <v>0</v>
      </c>
      <c r="AW156" s="18">
        <f>SUM(AW157:AW158)</f>
        <v>0</v>
      </c>
      <c r="AX156" s="18">
        <f>SUM(AX157:AX158)</f>
        <v>0</v>
      </c>
      <c r="AY156" s="18"/>
      <c r="AZ156" s="18">
        <f t="shared" ref="AZ156:CM156" si="348">SUM(AZ157:AZ158)</f>
        <v>0</v>
      </c>
      <c r="BA156" s="18">
        <f t="shared" si="348"/>
        <v>0</v>
      </c>
      <c r="BB156" s="18">
        <f t="shared" si="348"/>
        <v>0</v>
      </c>
      <c r="BC156" s="18">
        <f t="shared" si="348"/>
        <v>0</v>
      </c>
      <c r="BD156" s="18">
        <f t="shared" si="348"/>
        <v>0</v>
      </c>
      <c r="BE156" s="18">
        <f t="shared" si="348"/>
        <v>0</v>
      </c>
      <c r="BF156" s="18">
        <f t="shared" si="348"/>
        <v>0</v>
      </c>
      <c r="BG156" s="18">
        <f t="shared" si="348"/>
        <v>0</v>
      </c>
      <c r="BH156" s="18">
        <f t="shared" si="348"/>
        <v>0</v>
      </c>
      <c r="BI156" s="18">
        <f t="shared" si="348"/>
        <v>0</v>
      </c>
      <c r="BJ156" s="18">
        <f t="shared" ref="BJ156" si="349">SUM(BJ157:BJ158)</f>
        <v>0</v>
      </c>
      <c r="BK156" s="18">
        <f t="shared" si="348"/>
        <v>0</v>
      </c>
      <c r="BL156" s="18">
        <f t="shared" si="348"/>
        <v>0</v>
      </c>
      <c r="BM156" s="18">
        <f t="shared" si="348"/>
        <v>0</v>
      </c>
      <c r="BN156" s="18">
        <f t="shared" si="348"/>
        <v>0</v>
      </c>
      <c r="BO156" s="18">
        <f t="shared" si="348"/>
        <v>0</v>
      </c>
      <c r="BP156" s="18">
        <f t="shared" si="348"/>
        <v>0</v>
      </c>
      <c r="BQ156" s="18">
        <f t="shared" si="348"/>
        <v>0</v>
      </c>
      <c r="BR156" s="18">
        <f t="shared" si="348"/>
        <v>0</v>
      </c>
      <c r="BS156" s="18">
        <f t="shared" si="348"/>
        <v>0</v>
      </c>
      <c r="BT156" s="18">
        <f t="shared" si="348"/>
        <v>0</v>
      </c>
      <c r="BU156" s="18">
        <f t="shared" si="348"/>
        <v>0</v>
      </c>
      <c r="BV156" s="18">
        <f t="shared" si="348"/>
        <v>0</v>
      </c>
      <c r="BW156" s="18">
        <f t="shared" si="348"/>
        <v>0</v>
      </c>
      <c r="BX156" s="18">
        <f t="shared" si="348"/>
        <v>0</v>
      </c>
      <c r="BY156" s="18">
        <f t="shared" si="348"/>
        <v>0</v>
      </c>
      <c r="BZ156" s="18">
        <f t="shared" si="348"/>
        <v>0</v>
      </c>
      <c r="CA156" s="18">
        <f t="shared" si="348"/>
        <v>0</v>
      </c>
      <c r="CB156" s="18">
        <f t="shared" si="348"/>
        <v>0</v>
      </c>
      <c r="CC156" s="18">
        <f t="shared" si="348"/>
        <v>0</v>
      </c>
      <c r="CD156" s="18"/>
      <c r="CE156" s="18">
        <f t="shared" si="348"/>
        <v>0</v>
      </c>
      <c r="CF156" s="18">
        <f t="shared" si="348"/>
        <v>0</v>
      </c>
      <c r="CG156" s="18">
        <f t="shared" si="348"/>
        <v>0</v>
      </c>
      <c r="CH156" s="18">
        <f t="shared" si="348"/>
        <v>0</v>
      </c>
      <c r="CI156" s="18">
        <f t="shared" si="348"/>
        <v>0</v>
      </c>
      <c r="CJ156" s="18">
        <f t="shared" ref="CJ156" si="350">SUM(CJ157:CJ158)</f>
        <v>0</v>
      </c>
      <c r="CK156" s="18">
        <f t="shared" si="348"/>
        <v>0</v>
      </c>
      <c r="CL156" s="18">
        <f t="shared" si="348"/>
        <v>0</v>
      </c>
      <c r="CM156" s="18">
        <f t="shared" si="348"/>
        <v>0</v>
      </c>
      <c r="CN156" s="18"/>
      <c r="CO156" s="18">
        <f t="shared" ref="CO156:CV156" si="351">SUM(CO157:CO158)</f>
        <v>0</v>
      </c>
      <c r="CP156" s="74"/>
      <c r="CQ156" s="74"/>
      <c r="CR156" s="74"/>
      <c r="CS156" s="18">
        <f t="shared" si="351"/>
        <v>0</v>
      </c>
      <c r="CT156" s="18">
        <f t="shared" si="351"/>
        <v>0</v>
      </c>
      <c r="CU156" s="18">
        <f t="shared" si="351"/>
        <v>0</v>
      </c>
      <c r="CV156" s="46">
        <f t="shared" si="351"/>
        <v>0</v>
      </c>
      <c r="CW156" s="57"/>
    </row>
    <row r="157" spans="1:101" ht="15.6" x14ac:dyDescent="0.3">
      <c r="A157" s="105" t="s">
        <v>1</v>
      </c>
      <c r="B157" s="21" t="s">
        <v>54</v>
      </c>
      <c r="C157" s="22" t="s">
        <v>231</v>
      </c>
      <c r="D157" s="19">
        <f>SUM(E157+BZ157+CS157)</f>
        <v>253462</v>
      </c>
      <c r="E157" s="19">
        <f>SUM(F157+BA157)</f>
        <v>253462</v>
      </c>
      <c r="F157" s="19">
        <f>SUM(G157+H157+I157+P157+S157+T157+U157+AE157+AD157)</f>
        <v>253462</v>
      </c>
      <c r="G157" s="23">
        <v>204768</v>
      </c>
      <c r="H157" s="23">
        <v>48694</v>
      </c>
      <c r="I157" s="19">
        <f t="shared" si="307"/>
        <v>0</v>
      </c>
      <c r="J157" s="23">
        <v>0</v>
      </c>
      <c r="K157" s="23">
        <v>0</v>
      </c>
      <c r="L157" s="23">
        <v>0</v>
      </c>
      <c r="M157" s="23">
        <v>0</v>
      </c>
      <c r="N157" s="23"/>
      <c r="O157" s="23"/>
      <c r="P157" s="19">
        <f t="shared" si="308"/>
        <v>0</v>
      </c>
      <c r="Q157" s="19">
        <v>0</v>
      </c>
      <c r="R157" s="23">
        <v>0</v>
      </c>
      <c r="S157" s="23">
        <v>0</v>
      </c>
      <c r="T157" s="23">
        <v>0</v>
      </c>
      <c r="U157" s="19">
        <f t="shared" ref="U157:U158" si="352">SUM(V157:AC157)</f>
        <v>0</v>
      </c>
      <c r="V157" s="23"/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23">
        <v>0</v>
      </c>
      <c r="AE157" s="19">
        <f>SUM(AF157:AZ157)</f>
        <v>0</v>
      </c>
      <c r="AF157" s="19">
        <v>0</v>
      </c>
      <c r="AG157" s="19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>
        <v>0</v>
      </c>
      <c r="AQ157" s="23">
        <v>0</v>
      </c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19">
        <f>SUM(BB157+BF157+BI157+BK157+BN157)</f>
        <v>0</v>
      </c>
      <c r="BB157" s="19">
        <f>SUM(BC157:BE157)</f>
        <v>0</v>
      </c>
      <c r="BC157" s="19">
        <v>0</v>
      </c>
      <c r="BD157" s="19">
        <v>0</v>
      </c>
      <c r="BE157" s="19">
        <v>0</v>
      </c>
      <c r="BF157" s="19">
        <f>SUM(BH157:BH157)</f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f t="shared" si="310"/>
        <v>0</v>
      </c>
      <c r="BL157" s="19">
        <v>0</v>
      </c>
      <c r="BM157" s="19">
        <v>0</v>
      </c>
      <c r="BN157" s="19">
        <f>SUM(BO157:BY157)</f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f>SUM(CA157+CO157)</f>
        <v>0</v>
      </c>
      <c r="CA157" s="19">
        <f>SUM(CB157+CE157+CK157)</f>
        <v>0</v>
      </c>
      <c r="CB157" s="19">
        <f t="shared" si="311"/>
        <v>0</v>
      </c>
      <c r="CC157" s="19">
        <v>0</v>
      </c>
      <c r="CD157" s="23">
        <v>0</v>
      </c>
      <c r="CE157" s="19">
        <f>SUM(CF157:CJ157)</f>
        <v>0</v>
      </c>
      <c r="CF157" s="19"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f>SUM(CL157:CN157)</f>
        <v>0</v>
      </c>
      <c r="CL157" s="19">
        <v>0</v>
      </c>
      <c r="CM157" s="19">
        <v>0</v>
      </c>
      <c r="CN157" s="19"/>
      <c r="CO157" s="19">
        <v>0</v>
      </c>
      <c r="CP157" s="75"/>
      <c r="CQ157" s="75"/>
      <c r="CR157" s="75"/>
      <c r="CS157" s="19">
        <f t="shared" si="313"/>
        <v>0</v>
      </c>
      <c r="CT157" s="19">
        <f t="shared" si="314"/>
        <v>0</v>
      </c>
      <c r="CU157" s="19">
        <v>0</v>
      </c>
      <c r="CV157" s="20">
        <v>0</v>
      </c>
      <c r="CW157" s="52"/>
    </row>
    <row r="158" spans="1:101" s="58" customFormat="1" ht="31.2" x14ac:dyDescent="0.3">
      <c r="A158" s="105" t="s">
        <v>1</v>
      </c>
      <c r="B158" s="21" t="s">
        <v>78</v>
      </c>
      <c r="C158" s="22" t="s">
        <v>447</v>
      </c>
      <c r="D158" s="19">
        <f>SUM(E158+BZ158+CS158)</f>
        <v>8992322</v>
      </c>
      <c r="E158" s="19">
        <f>SUM(F158+BA158)</f>
        <v>8992322</v>
      </c>
      <c r="F158" s="19">
        <f>SUM(G158+H158+I158+P158+S158+T158+U158+AE158+AD158)</f>
        <v>8992322</v>
      </c>
      <c r="G158" s="23">
        <v>5570002</v>
      </c>
      <c r="H158" s="23">
        <v>1323814</v>
      </c>
      <c r="I158" s="19">
        <f t="shared" si="307"/>
        <v>31492</v>
      </c>
      <c r="J158" s="23">
        <v>0</v>
      </c>
      <c r="K158" s="23">
        <v>0</v>
      </c>
      <c r="L158" s="23">
        <v>0</v>
      </c>
      <c r="M158" s="23">
        <v>0</v>
      </c>
      <c r="N158" s="23">
        <v>31492</v>
      </c>
      <c r="O158" s="23"/>
      <c r="P158" s="19">
        <f t="shared" si="308"/>
        <v>0</v>
      </c>
      <c r="Q158" s="19"/>
      <c r="R158" s="23">
        <v>0</v>
      </c>
      <c r="S158" s="23">
        <v>0</v>
      </c>
      <c r="T158" s="23">
        <v>16845</v>
      </c>
      <c r="U158" s="19">
        <f t="shared" si="352"/>
        <v>0</v>
      </c>
      <c r="V158" s="23"/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19">
        <f>SUM(AF158:AZ158)</f>
        <v>2050169</v>
      </c>
      <c r="AF158" s="19">
        <v>0</v>
      </c>
      <c r="AG158" s="19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/>
      <c r="AN158" s="23">
        <v>2050169</v>
      </c>
      <c r="AO158" s="23">
        <v>0</v>
      </c>
      <c r="AP158" s="23">
        <v>0</v>
      </c>
      <c r="AQ158" s="23">
        <v>0</v>
      </c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0</v>
      </c>
      <c r="BA158" s="19">
        <f>SUM(BB158+BF158+BI158+BK158+BN158)</f>
        <v>0</v>
      </c>
      <c r="BB158" s="19">
        <f>SUM(BC158:BE158)</f>
        <v>0</v>
      </c>
      <c r="BC158" s="19">
        <v>0</v>
      </c>
      <c r="BD158" s="19">
        <v>0</v>
      </c>
      <c r="BE158" s="19">
        <v>0</v>
      </c>
      <c r="BF158" s="19">
        <f>SUM(BH158:BH158)</f>
        <v>0</v>
      </c>
      <c r="BG158" s="19">
        <v>0</v>
      </c>
      <c r="BH158" s="19">
        <v>0</v>
      </c>
      <c r="BI158" s="19">
        <v>0</v>
      </c>
      <c r="BJ158" s="19">
        <v>0</v>
      </c>
      <c r="BK158" s="19">
        <f t="shared" si="310"/>
        <v>0</v>
      </c>
      <c r="BL158" s="19">
        <v>0</v>
      </c>
      <c r="BM158" s="19">
        <v>0</v>
      </c>
      <c r="BN158" s="19">
        <f>SUM(BO158:BY158)</f>
        <v>0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f>SUM(CA158+CO158)</f>
        <v>0</v>
      </c>
      <c r="CA158" s="19">
        <f>SUM(CB158+CE158+CK158)</f>
        <v>0</v>
      </c>
      <c r="CB158" s="19">
        <f t="shared" si="311"/>
        <v>0</v>
      </c>
      <c r="CC158" s="19">
        <v>0</v>
      </c>
      <c r="CD158" s="23"/>
      <c r="CE158" s="19">
        <f>SUM(CF158:CJ158)</f>
        <v>0</v>
      </c>
      <c r="CF158" s="19">
        <v>0</v>
      </c>
      <c r="CG158" s="19">
        <v>0</v>
      </c>
      <c r="CH158" s="19"/>
      <c r="CI158" s="19">
        <v>0</v>
      </c>
      <c r="CJ158" s="19">
        <v>0</v>
      </c>
      <c r="CK158" s="19">
        <f>SUM(CL158:CN158)</f>
        <v>0</v>
      </c>
      <c r="CL158" s="19"/>
      <c r="CM158" s="19">
        <v>0</v>
      </c>
      <c r="CN158" s="19"/>
      <c r="CO158" s="19">
        <v>0</v>
      </c>
      <c r="CP158" s="75"/>
      <c r="CQ158" s="75"/>
      <c r="CR158" s="75"/>
      <c r="CS158" s="19">
        <f t="shared" si="313"/>
        <v>0</v>
      </c>
      <c r="CT158" s="19">
        <f t="shared" si="314"/>
        <v>0</v>
      </c>
      <c r="CU158" s="19">
        <v>0</v>
      </c>
      <c r="CV158" s="20">
        <v>0</v>
      </c>
      <c r="CW158" s="52"/>
    </row>
    <row r="159" spans="1:101" ht="15.6" x14ac:dyDescent="0.3">
      <c r="A159" s="104" t="s">
        <v>538</v>
      </c>
      <c r="B159" s="16" t="s">
        <v>1</v>
      </c>
      <c r="C159" s="17" t="s">
        <v>539</v>
      </c>
      <c r="D159" s="18">
        <f>D160</f>
        <v>479234</v>
      </c>
      <c r="E159" s="18">
        <f t="shared" ref="E159" si="353">E160</f>
        <v>455780</v>
      </c>
      <c r="F159" s="18">
        <f t="shared" ref="F159" si="354">F160</f>
        <v>455780</v>
      </c>
      <c r="G159" s="56">
        <f t="shared" ref="G159" si="355">G160</f>
        <v>355815</v>
      </c>
      <c r="H159" s="56">
        <f t="shared" ref="H159" si="356">H160</f>
        <v>84355</v>
      </c>
      <c r="I159" s="18">
        <f t="shared" ref="I159" si="357">I160</f>
        <v>0</v>
      </c>
      <c r="J159" s="56">
        <f t="shared" ref="J159" si="358">J160</f>
        <v>0</v>
      </c>
      <c r="K159" s="56">
        <f t="shared" ref="K159" si="359">K160</f>
        <v>0</v>
      </c>
      <c r="L159" s="56">
        <f t="shared" ref="L159" si="360">L160</f>
        <v>0</v>
      </c>
      <c r="M159" s="56">
        <f t="shared" ref="M159" si="361">M160</f>
        <v>0</v>
      </c>
      <c r="N159" s="56">
        <f t="shared" ref="N159" si="362">N160</f>
        <v>0</v>
      </c>
      <c r="O159" s="56">
        <f t="shared" ref="O159" si="363">O160</f>
        <v>0</v>
      </c>
      <c r="P159" s="18">
        <f t="shared" ref="P159" si="364">P160</f>
        <v>0</v>
      </c>
      <c r="Q159" s="18">
        <f t="shared" ref="Q159" si="365">Q160</f>
        <v>0</v>
      </c>
      <c r="R159" s="56">
        <f t="shared" ref="R159" si="366">R160</f>
        <v>0</v>
      </c>
      <c r="S159" s="56">
        <f t="shared" ref="S159" si="367">S160</f>
        <v>0</v>
      </c>
      <c r="T159" s="56">
        <f t="shared" ref="T159" si="368">T160</f>
        <v>10025</v>
      </c>
      <c r="U159" s="18">
        <f t="shared" ref="U159" si="369">U160</f>
        <v>5585</v>
      </c>
      <c r="V159" s="56">
        <f>V160</f>
        <v>1300</v>
      </c>
      <c r="W159" s="56">
        <f>W160</f>
        <v>2365</v>
      </c>
      <c r="X159" s="56">
        <f>X160</f>
        <v>1652</v>
      </c>
      <c r="Y159" s="56">
        <f>Y160</f>
        <v>268</v>
      </c>
      <c r="Z159" s="56">
        <f t="shared" ref="Z159" si="370">Z160</f>
        <v>0</v>
      </c>
      <c r="AA159" s="56">
        <f t="shared" ref="AA159" si="371">AA160</f>
        <v>0</v>
      </c>
      <c r="AB159" s="56">
        <f t="shared" ref="AB159" si="372">AB160</f>
        <v>0</v>
      </c>
      <c r="AC159" s="56">
        <f t="shared" ref="AC159" si="373">AC160</f>
        <v>0</v>
      </c>
      <c r="AD159" s="56">
        <f t="shared" ref="AD159" si="374">AD160</f>
        <v>0</v>
      </c>
      <c r="AE159" s="18">
        <f t="shared" ref="AE159" si="375">AE160</f>
        <v>0</v>
      </c>
      <c r="AF159" s="18">
        <f t="shared" ref="AF159" si="376">AF160</f>
        <v>0</v>
      </c>
      <c r="AG159" s="18">
        <f t="shared" ref="AG159" si="377">AG160</f>
        <v>0</v>
      </c>
      <c r="AH159" s="56">
        <f t="shared" ref="AH159" si="378">AH160</f>
        <v>0</v>
      </c>
      <c r="AI159" s="56">
        <f t="shared" ref="AI159" si="379">AI160</f>
        <v>0</v>
      </c>
      <c r="AJ159" s="56">
        <f t="shared" ref="AJ159" si="380">AJ160</f>
        <v>0</v>
      </c>
      <c r="AK159" s="56">
        <f t="shared" ref="AK159" si="381">AK160</f>
        <v>0</v>
      </c>
      <c r="AL159" s="56">
        <f t="shared" ref="AL159" si="382">AL160</f>
        <v>0</v>
      </c>
      <c r="AM159" s="56">
        <f t="shared" ref="AM159" si="383">AM160</f>
        <v>0</v>
      </c>
      <c r="AN159" s="56">
        <f t="shared" ref="AN159" si="384">AN160</f>
        <v>0</v>
      </c>
      <c r="AO159" s="56">
        <f t="shared" ref="AO159" si="385">AO160</f>
        <v>0</v>
      </c>
      <c r="AP159" s="56">
        <f t="shared" ref="AP159" si="386">AP160</f>
        <v>0</v>
      </c>
      <c r="AQ159" s="56">
        <f t="shared" ref="AQ159" si="387">AQ160</f>
        <v>0</v>
      </c>
      <c r="AR159" s="56">
        <f t="shared" ref="AR159" si="388">AR160</f>
        <v>0</v>
      </c>
      <c r="AS159" s="56">
        <f t="shared" ref="AS159" si="389">AS160</f>
        <v>0</v>
      </c>
      <c r="AT159" s="56">
        <f t="shared" ref="AT159" si="390">AT160</f>
        <v>0</v>
      </c>
      <c r="AU159" s="56">
        <f t="shared" ref="AU159" si="391">AU160</f>
        <v>0</v>
      </c>
      <c r="AV159" s="56">
        <f t="shared" ref="AV159" si="392">AV160</f>
        <v>0</v>
      </c>
      <c r="AW159" s="56">
        <f t="shared" ref="AW159" si="393">AW160</f>
        <v>0</v>
      </c>
      <c r="AX159" s="56">
        <f t="shared" ref="AX159" si="394">AX160</f>
        <v>0</v>
      </c>
      <c r="AY159" s="56">
        <f t="shared" ref="AY159" si="395">AY160</f>
        <v>0</v>
      </c>
      <c r="AZ159" s="56">
        <f t="shared" ref="AZ159" si="396">AZ160</f>
        <v>0</v>
      </c>
      <c r="BA159" s="18">
        <f t="shared" ref="BA159" si="397">BA160</f>
        <v>0</v>
      </c>
      <c r="BB159" s="18">
        <f t="shared" ref="BB159" si="398">BB160</f>
        <v>0</v>
      </c>
      <c r="BC159" s="18">
        <f t="shared" ref="BC159" si="399">BC160</f>
        <v>0</v>
      </c>
      <c r="BD159" s="18">
        <f t="shared" ref="BD159" si="400">BD160</f>
        <v>0</v>
      </c>
      <c r="BE159" s="18">
        <f t="shared" ref="BE159" si="401">BE160</f>
        <v>0</v>
      </c>
      <c r="BF159" s="18">
        <f t="shared" ref="BF159" si="402">BF160</f>
        <v>0</v>
      </c>
      <c r="BG159" s="18">
        <f t="shared" ref="BG159" si="403">BG160</f>
        <v>0</v>
      </c>
      <c r="BH159" s="18">
        <f t="shared" ref="BH159" si="404">BH160</f>
        <v>0</v>
      </c>
      <c r="BI159" s="18">
        <f t="shared" ref="BI159" si="405">BI160</f>
        <v>0</v>
      </c>
      <c r="BJ159" s="18">
        <f t="shared" ref="BJ159:BL159" si="406">BJ160</f>
        <v>0</v>
      </c>
      <c r="BK159" s="18">
        <f t="shared" ref="BK159" si="407">BK160</f>
        <v>0</v>
      </c>
      <c r="BL159" s="18">
        <f t="shared" si="406"/>
        <v>0</v>
      </c>
      <c r="BM159" s="18">
        <f t="shared" ref="BM159" si="408">BM160</f>
        <v>0</v>
      </c>
      <c r="BN159" s="18">
        <f t="shared" ref="BN159" si="409">BN160</f>
        <v>0</v>
      </c>
      <c r="BO159" s="18">
        <f t="shared" ref="BO159" si="410">BO160</f>
        <v>0</v>
      </c>
      <c r="BP159" s="18">
        <f t="shared" ref="BP159" si="411">BP160</f>
        <v>0</v>
      </c>
      <c r="BQ159" s="18">
        <f t="shared" ref="BQ159" si="412">BQ160</f>
        <v>0</v>
      </c>
      <c r="BR159" s="18">
        <f t="shared" ref="BR159" si="413">BR160</f>
        <v>0</v>
      </c>
      <c r="BS159" s="18">
        <f t="shared" ref="BS159" si="414">BS160</f>
        <v>0</v>
      </c>
      <c r="BT159" s="18">
        <f t="shared" ref="BT159" si="415">BT160</f>
        <v>0</v>
      </c>
      <c r="BU159" s="18">
        <f t="shared" ref="BU159" si="416">BU160</f>
        <v>0</v>
      </c>
      <c r="BV159" s="18">
        <f t="shared" ref="BV159" si="417">BV160</f>
        <v>0</v>
      </c>
      <c r="BW159" s="18">
        <f t="shared" ref="BW159" si="418">BW160</f>
        <v>0</v>
      </c>
      <c r="BX159" s="18">
        <f t="shared" ref="BX159" si="419">BX160</f>
        <v>0</v>
      </c>
      <c r="BY159" s="18">
        <f t="shared" ref="BY159" si="420">BY160</f>
        <v>0</v>
      </c>
      <c r="BZ159" s="18">
        <f t="shared" ref="BZ159" si="421">BZ160</f>
        <v>23454</v>
      </c>
      <c r="CA159" s="18">
        <f t="shared" ref="CA159" si="422">CA160</f>
        <v>23454</v>
      </c>
      <c r="CB159" s="18">
        <f t="shared" ref="CB159" si="423">CB160</f>
        <v>23454</v>
      </c>
      <c r="CC159" s="18">
        <f t="shared" ref="CC159" si="424">CC160</f>
        <v>0</v>
      </c>
      <c r="CD159" s="18">
        <f t="shared" ref="CD159" si="425">CD160</f>
        <v>23454</v>
      </c>
      <c r="CE159" s="18">
        <f t="shared" ref="CE159" si="426">CE160</f>
        <v>0</v>
      </c>
      <c r="CF159" s="18">
        <f t="shared" ref="CF159" si="427">CF160</f>
        <v>0</v>
      </c>
      <c r="CG159" s="18">
        <f t="shared" ref="CG159" si="428">CG160</f>
        <v>0</v>
      </c>
      <c r="CH159" s="18">
        <f t="shared" ref="CH159" si="429">CH160</f>
        <v>0</v>
      </c>
      <c r="CI159" s="18">
        <f t="shared" ref="CI159" si="430">CI160</f>
        <v>0</v>
      </c>
      <c r="CJ159" s="18">
        <f t="shared" ref="CJ159" si="431">CJ160</f>
        <v>0</v>
      </c>
      <c r="CK159" s="18">
        <f t="shared" ref="CK159" si="432">CK160</f>
        <v>0</v>
      </c>
      <c r="CL159" s="18">
        <f t="shared" ref="CL159" si="433">CL160</f>
        <v>0</v>
      </c>
      <c r="CM159" s="18">
        <f t="shared" ref="CM159" si="434">CM160</f>
        <v>0</v>
      </c>
      <c r="CN159" s="18">
        <f t="shared" ref="CN159" si="435">CN160</f>
        <v>0</v>
      </c>
      <c r="CO159" s="18">
        <f t="shared" ref="CO159" si="436">CO160</f>
        <v>0</v>
      </c>
      <c r="CP159" s="74"/>
      <c r="CQ159" s="74"/>
      <c r="CR159" s="74"/>
      <c r="CS159" s="18">
        <f t="shared" ref="CS159" si="437">CS160</f>
        <v>0</v>
      </c>
      <c r="CT159" s="18">
        <f t="shared" ref="CT159" si="438">CT160</f>
        <v>0</v>
      </c>
      <c r="CU159" s="18">
        <f t="shared" ref="CU159" si="439">CU160</f>
        <v>0</v>
      </c>
      <c r="CV159" s="46">
        <f t="shared" ref="CV159" si="440">CV160</f>
        <v>0</v>
      </c>
      <c r="CW159" s="57"/>
    </row>
    <row r="160" spans="1:101" s="58" customFormat="1" ht="31.2" x14ac:dyDescent="0.3">
      <c r="A160" s="105"/>
      <c r="B160" s="33" t="s">
        <v>62</v>
      </c>
      <c r="C160" s="32" t="s">
        <v>558</v>
      </c>
      <c r="D160" s="19">
        <f>SUM(E160+BZ160+CS160)</f>
        <v>479234</v>
      </c>
      <c r="E160" s="19">
        <f>SUM(F160+BA160)</f>
        <v>455780</v>
      </c>
      <c r="F160" s="19">
        <f>SUM(G160+H160+I160+P160+S160+T160+U160+AE160+AD160)</f>
        <v>455780</v>
      </c>
      <c r="G160" s="23">
        <v>355815</v>
      </c>
      <c r="H160" s="23">
        <v>84355</v>
      </c>
      <c r="I160" s="19">
        <f t="shared" ref="I160" si="441">SUM(J160:O160)</f>
        <v>0</v>
      </c>
      <c r="J160" s="23">
        <v>0</v>
      </c>
      <c r="K160" s="23">
        <v>0</v>
      </c>
      <c r="L160" s="23">
        <v>0</v>
      </c>
      <c r="M160" s="23">
        <v>0</v>
      </c>
      <c r="N160" s="23"/>
      <c r="O160" s="23">
        <f>1497-1497</f>
        <v>0</v>
      </c>
      <c r="P160" s="19">
        <f t="shared" ref="P160" si="442">SUM(Q160:R160)</f>
        <v>0</v>
      </c>
      <c r="Q160" s="19"/>
      <c r="R160" s="23">
        <v>0</v>
      </c>
      <c r="S160" s="23">
        <v>0</v>
      </c>
      <c r="T160" s="23">
        <v>10025</v>
      </c>
      <c r="U160" s="19">
        <f>SUM(V160:AC160)</f>
        <v>5585</v>
      </c>
      <c r="V160" s="23">
        <v>1300</v>
      </c>
      <c r="W160" s="23">
        <v>2365</v>
      </c>
      <c r="X160" s="23">
        <v>1652</v>
      </c>
      <c r="Y160" s="23">
        <v>268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19">
        <f>SUM(AF160:AZ160)</f>
        <v>0</v>
      </c>
      <c r="AF160" s="19">
        <v>0</v>
      </c>
      <c r="AG160" s="19">
        <v>0</v>
      </c>
      <c r="AH160" s="23">
        <v>0</v>
      </c>
      <c r="AI160" s="23">
        <v>0</v>
      </c>
      <c r="AJ160" s="23">
        <v>0</v>
      </c>
      <c r="AK160" s="23">
        <v>0</v>
      </c>
      <c r="AL160" s="23">
        <v>0</v>
      </c>
      <c r="AM160" s="23">
        <v>0</v>
      </c>
      <c r="AN160" s="23"/>
      <c r="AO160" s="23">
        <v>0</v>
      </c>
      <c r="AP160" s="23">
        <v>0</v>
      </c>
      <c r="AQ160" s="23">
        <v>0</v>
      </c>
      <c r="AR160" s="23">
        <v>0</v>
      </c>
      <c r="AS160" s="23">
        <v>0</v>
      </c>
      <c r="AT160" s="23">
        <v>0</v>
      </c>
      <c r="AU160" s="23">
        <v>0</v>
      </c>
      <c r="AV160" s="23">
        <v>0</v>
      </c>
      <c r="AW160" s="23">
        <v>0</v>
      </c>
      <c r="AX160" s="23">
        <v>0</v>
      </c>
      <c r="AY160" s="23">
        <v>0</v>
      </c>
      <c r="AZ160" s="23">
        <v>0</v>
      </c>
      <c r="BA160" s="19">
        <f>SUM(BB160+BF160+BI160+BK160+BN160)</f>
        <v>0</v>
      </c>
      <c r="BB160" s="19">
        <f>SUM(BC160:BE160)</f>
        <v>0</v>
      </c>
      <c r="BC160" s="19">
        <v>0</v>
      </c>
      <c r="BD160" s="19">
        <v>0</v>
      </c>
      <c r="BE160" s="19">
        <v>0</v>
      </c>
      <c r="BF160" s="19">
        <f>SUM(BH160:BH160)</f>
        <v>0</v>
      </c>
      <c r="BG160" s="19">
        <v>0</v>
      </c>
      <c r="BH160" s="19">
        <v>0</v>
      </c>
      <c r="BI160" s="19">
        <v>0</v>
      </c>
      <c r="BJ160" s="19">
        <v>0</v>
      </c>
      <c r="BK160" s="19">
        <f t="shared" ref="BK160" si="443">SUM(BL160)</f>
        <v>0</v>
      </c>
      <c r="BL160" s="19">
        <v>0</v>
      </c>
      <c r="BM160" s="19">
        <v>0</v>
      </c>
      <c r="BN160" s="19">
        <f>SUM(BO160:BY160)</f>
        <v>0</v>
      </c>
      <c r="BO160" s="19">
        <v>0</v>
      </c>
      <c r="BP160" s="19">
        <v>0</v>
      </c>
      <c r="BQ160" s="19">
        <v>0</v>
      </c>
      <c r="BR160" s="19">
        <v>0</v>
      </c>
      <c r="BS160" s="19">
        <v>0</v>
      </c>
      <c r="BT160" s="19">
        <v>0</v>
      </c>
      <c r="BU160" s="19">
        <v>0</v>
      </c>
      <c r="BV160" s="19">
        <v>0</v>
      </c>
      <c r="BW160" s="19">
        <v>0</v>
      </c>
      <c r="BX160" s="19">
        <v>0</v>
      </c>
      <c r="BY160" s="19">
        <v>0</v>
      </c>
      <c r="BZ160" s="19">
        <f>SUM(CA160+CO160)</f>
        <v>23454</v>
      </c>
      <c r="CA160" s="19">
        <f>SUM(CB160+CE160+CK160)</f>
        <v>23454</v>
      </c>
      <c r="CB160" s="19">
        <f t="shared" ref="CB160" si="444">SUM(CC160:CD160)</f>
        <v>23454</v>
      </c>
      <c r="CC160" s="19">
        <v>0</v>
      </c>
      <c r="CD160" s="23">
        <v>23454</v>
      </c>
      <c r="CE160" s="19">
        <f>SUM(CF160:CJ160)</f>
        <v>0</v>
      </c>
      <c r="CF160" s="19">
        <v>0</v>
      </c>
      <c r="CG160" s="19">
        <v>0</v>
      </c>
      <c r="CH160" s="19">
        <v>0</v>
      </c>
      <c r="CI160" s="19">
        <v>0</v>
      </c>
      <c r="CJ160" s="19">
        <v>0</v>
      </c>
      <c r="CK160" s="19">
        <f>SUM(CL160:CN160)</f>
        <v>0</v>
      </c>
      <c r="CL160" s="19"/>
      <c r="CM160" s="19">
        <v>0</v>
      </c>
      <c r="CN160" s="19"/>
      <c r="CO160" s="19">
        <v>0</v>
      </c>
      <c r="CP160" s="75"/>
      <c r="CQ160" s="75"/>
      <c r="CR160" s="75"/>
      <c r="CS160" s="19">
        <f t="shared" ref="CS160" si="445">SUM(CT160)</f>
        <v>0</v>
      </c>
      <c r="CT160" s="19">
        <f t="shared" ref="CT160" si="446">SUM(CU160:CV160)</f>
        <v>0</v>
      </c>
      <c r="CU160" s="19">
        <v>0</v>
      </c>
      <c r="CV160" s="20">
        <v>0</v>
      </c>
      <c r="CW160" s="52"/>
    </row>
    <row r="161" spans="1:101" s="58" customFormat="1" ht="15.6" x14ac:dyDescent="0.3">
      <c r="A161" s="106" t="s">
        <v>232</v>
      </c>
      <c r="B161" s="25" t="s">
        <v>1</v>
      </c>
      <c r="C161" s="26" t="s">
        <v>233</v>
      </c>
      <c r="D161" s="27">
        <f>SUM(D162+D164+D167+D170+D172)</f>
        <v>980797057</v>
      </c>
      <c r="E161" s="27">
        <f t="shared" ref="E161:BT161" si="447">SUM(E162+E164+E167+E170+E172)</f>
        <v>980523233</v>
      </c>
      <c r="F161" s="27">
        <f t="shared" si="447"/>
        <v>978273080</v>
      </c>
      <c r="G161" s="27">
        <f t="shared" si="447"/>
        <v>575935100</v>
      </c>
      <c r="H161" s="27">
        <f t="shared" si="447"/>
        <v>135821950</v>
      </c>
      <c r="I161" s="27">
        <f t="shared" si="447"/>
        <v>143044580</v>
      </c>
      <c r="J161" s="27">
        <f t="shared" si="447"/>
        <v>104838203</v>
      </c>
      <c r="K161" s="27">
        <f t="shared" si="447"/>
        <v>781337</v>
      </c>
      <c r="L161" s="27">
        <f t="shared" si="447"/>
        <v>18402924</v>
      </c>
      <c r="M161" s="27">
        <f t="shared" si="447"/>
        <v>0</v>
      </c>
      <c r="N161" s="27">
        <f t="shared" si="447"/>
        <v>16804931</v>
      </c>
      <c r="O161" s="27">
        <f t="shared" si="447"/>
        <v>2217185</v>
      </c>
      <c r="P161" s="27">
        <f t="shared" si="447"/>
        <v>2329</v>
      </c>
      <c r="Q161" s="27">
        <f t="shared" si="447"/>
        <v>1310</v>
      </c>
      <c r="R161" s="27">
        <f t="shared" si="447"/>
        <v>1019</v>
      </c>
      <c r="S161" s="27">
        <f t="shared" si="447"/>
        <v>0</v>
      </c>
      <c r="T161" s="27">
        <f t="shared" si="447"/>
        <v>1664789</v>
      </c>
      <c r="U161" s="27">
        <f t="shared" si="447"/>
        <v>28716754</v>
      </c>
      <c r="V161" s="27">
        <f t="shared" si="447"/>
        <v>608508</v>
      </c>
      <c r="W161" s="27">
        <f t="shared" si="447"/>
        <v>13913740</v>
      </c>
      <c r="X161" s="27">
        <f t="shared" si="447"/>
        <v>7574549</v>
      </c>
      <c r="Y161" s="27">
        <f t="shared" si="447"/>
        <v>5758717</v>
      </c>
      <c r="Z161" s="27">
        <f t="shared" si="447"/>
        <v>676624</v>
      </c>
      <c r="AA161" s="27">
        <f t="shared" si="447"/>
        <v>0</v>
      </c>
      <c r="AB161" s="27">
        <f t="shared" si="447"/>
        <v>0</v>
      </c>
      <c r="AC161" s="27">
        <f t="shared" si="447"/>
        <v>184616</v>
      </c>
      <c r="AD161" s="27">
        <f t="shared" si="447"/>
        <v>0</v>
      </c>
      <c r="AE161" s="27">
        <f t="shared" si="447"/>
        <v>93087578</v>
      </c>
      <c r="AF161" s="27">
        <f t="shared" si="447"/>
        <v>0</v>
      </c>
      <c r="AG161" s="27">
        <f t="shared" si="447"/>
        <v>0</v>
      </c>
      <c r="AH161" s="27">
        <f t="shared" si="447"/>
        <v>0</v>
      </c>
      <c r="AI161" s="27">
        <f t="shared" si="447"/>
        <v>0</v>
      </c>
      <c r="AJ161" s="27">
        <f t="shared" si="447"/>
        <v>0</v>
      </c>
      <c r="AK161" s="27">
        <f t="shared" si="447"/>
        <v>0</v>
      </c>
      <c r="AL161" s="27">
        <f t="shared" si="447"/>
        <v>0</v>
      </c>
      <c r="AM161" s="27">
        <f t="shared" si="447"/>
        <v>0</v>
      </c>
      <c r="AN161" s="27">
        <f t="shared" si="447"/>
        <v>25657</v>
      </c>
      <c r="AO161" s="27">
        <f t="shared" si="447"/>
        <v>0</v>
      </c>
      <c r="AP161" s="27">
        <f t="shared" si="447"/>
        <v>0</v>
      </c>
      <c r="AQ161" s="27">
        <f t="shared" si="447"/>
        <v>0</v>
      </c>
      <c r="AR161" s="27">
        <f t="shared" si="447"/>
        <v>1925579</v>
      </c>
      <c r="AS161" s="27">
        <f t="shared" si="447"/>
        <v>125800</v>
      </c>
      <c r="AT161" s="27">
        <f t="shared" si="447"/>
        <v>0</v>
      </c>
      <c r="AU161" s="27">
        <f t="shared" si="447"/>
        <v>1922587</v>
      </c>
      <c r="AV161" s="27">
        <f t="shared" si="447"/>
        <v>6268746</v>
      </c>
      <c r="AW161" s="27">
        <f t="shared" si="447"/>
        <v>0</v>
      </c>
      <c r="AX161" s="27">
        <f t="shared" si="447"/>
        <v>0</v>
      </c>
      <c r="AY161" s="27">
        <f t="shared" ref="AY161" si="448">SUM(AY162+AY164+AY167+AY170+AY172)</f>
        <v>27615240</v>
      </c>
      <c r="AZ161" s="27">
        <f t="shared" si="447"/>
        <v>55203969</v>
      </c>
      <c r="BA161" s="27">
        <f t="shared" si="447"/>
        <v>2250153</v>
      </c>
      <c r="BB161" s="27">
        <f t="shared" si="447"/>
        <v>0</v>
      </c>
      <c r="BC161" s="27">
        <f t="shared" si="447"/>
        <v>0</v>
      </c>
      <c r="BD161" s="27">
        <f t="shared" si="447"/>
        <v>0</v>
      </c>
      <c r="BE161" s="27">
        <f t="shared" si="447"/>
        <v>0</v>
      </c>
      <c r="BF161" s="27">
        <f t="shared" si="447"/>
        <v>0</v>
      </c>
      <c r="BG161" s="27">
        <f t="shared" si="447"/>
        <v>0</v>
      </c>
      <c r="BH161" s="27">
        <f t="shared" si="447"/>
        <v>0</v>
      </c>
      <c r="BI161" s="27">
        <f t="shared" si="447"/>
        <v>0</v>
      </c>
      <c r="BJ161" s="27">
        <f t="shared" ref="BJ161" si="449">SUM(BJ162+BJ164+BJ167+BJ170+BJ172)</f>
        <v>0</v>
      </c>
      <c r="BK161" s="27">
        <f t="shared" si="447"/>
        <v>0</v>
      </c>
      <c r="BL161" s="27">
        <f t="shared" si="447"/>
        <v>0</v>
      </c>
      <c r="BM161" s="27">
        <f t="shared" ref="BM161" si="450">SUM(BM162+BM164+BM167+BM170+BM172)</f>
        <v>0</v>
      </c>
      <c r="BN161" s="27">
        <f t="shared" si="447"/>
        <v>2250153</v>
      </c>
      <c r="BO161" s="27">
        <f t="shared" si="447"/>
        <v>0</v>
      </c>
      <c r="BP161" s="27">
        <f t="shared" si="447"/>
        <v>0</v>
      </c>
      <c r="BQ161" s="27">
        <f t="shared" si="447"/>
        <v>0</v>
      </c>
      <c r="BR161" s="27">
        <f t="shared" si="447"/>
        <v>0</v>
      </c>
      <c r="BS161" s="27">
        <f t="shared" si="447"/>
        <v>0</v>
      </c>
      <c r="BT161" s="27">
        <f t="shared" si="447"/>
        <v>0</v>
      </c>
      <c r="BU161" s="27">
        <f t="shared" ref="BU161:CV161" si="451">SUM(BU162+BU164+BU167+BU170+BU172)</f>
        <v>0</v>
      </c>
      <c r="BV161" s="27">
        <f t="shared" si="451"/>
        <v>0</v>
      </c>
      <c r="BW161" s="27">
        <f t="shared" si="451"/>
        <v>0</v>
      </c>
      <c r="BX161" s="27">
        <f t="shared" si="451"/>
        <v>0</v>
      </c>
      <c r="BY161" s="27">
        <f t="shared" si="451"/>
        <v>2250153</v>
      </c>
      <c r="BZ161" s="27">
        <f t="shared" si="451"/>
        <v>273824</v>
      </c>
      <c r="CA161" s="27">
        <f t="shared" si="451"/>
        <v>273824</v>
      </c>
      <c r="CB161" s="27">
        <f t="shared" si="451"/>
        <v>273824</v>
      </c>
      <c r="CC161" s="27">
        <f t="shared" si="451"/>
        <v>0</v>
      </c>
      <c r="CD161" s="27">
        <f t="shared" si="451"/>
        <v>273824</v>
      </c>
      <c r="CE161" s="27">
        <f t="shared" si="451"/>
        <v>0</v>
      </c>
      <c r="CF161" s="27">
        <f t="shared" si="451"/>
        <v>0</v>
      </c>
      <c r="CG161" s="27">
        <f t="shared" ref="CG161:CH161" si="452">SUM(CG162+CG164+CG167+CG170+CG172)</f>
        <v>0</v>
      </c>
      <c r="CH161" s="27">
        <f t="shared" si="452"/>
        <v>0</v>
      </c>
      <c r="CI161" s="27">
        <f t="shared" si="451"/>
        <v>0</v>
      </c>
      <c r="CJ161" s="27">
        <f t="shared" ref="CJ161" si="453">SUM(CJ162+CJ164+CJ167+CJ170+CJ172)</f>
        <v>0</v>
      </c>
      <c r="CK161" s="27">
        <f t="shared" si="451"/>
        <v>0</v>
      </c>
      <c r="CL161" s="27">
        <f t="shared" ref="CL161" si="454">SUM(CL162+CL164+CL167+CL170+CL172)</f>
        <v>0</v>
      </c>
      <c r="CM161" s="27">
        <f t="shared" si="451"/>
        <v>0</v>
      </c>
      <c r="CN161" s="27">
        <f t="shared" si="451"/>
        <v>0</v>
      </c>
      <c r="CO161" s="27">
        <f t="shared" si="451"/>
        <v>0</v>
      </c>
      <c r="CP161" s="27">
        <f t="shared" si="451"/>
        <v>0</v>
      </c>
      <c r="CQ161" s="27">
        <f t="shared" si="451"/>
        <v>0</v>
      </c>
      <c r="CR161" s="27">
        <f t="shared" si="451"/>
        <v>0</v>
      </c>
      <c r="CS161" s="27">
        <f t="shared" si="451"/>
        <v>0</v>
      </c>
      <c r="CT161" s="27">
        <f t="shared" si="451"/>
        <v>0</v>
      </c>
      <c r="CU161" s="27">
        <f t="shared" si="451"/>
        <v>0</v>
      </c>
      <c r="CV161" s="60">
        <f t="shared" si="451"/>
        <v>0</v>
      </c>
      <c r="CW161" s="57"/>
    </row>
    <row r="162" spans="1:101" ht="15.6" x14ac:dyDescent="0.3">
      <c r="A162" s="104" t="s">
        <v>234</v>
      </c>
      <c r="B162" s="16" t="s">
        <v>1</v>
      </c>
      <c r="C162" s="17" t="s">
        <v>235</v>
      </c>
      <c r="D162" s="18">
        <f>SUM(D163)</f>
        <v>748395167</v>
      </c>
      <c r="E162" s="18">
        <f t="shared" ref="E162:BT162" si="455">SUM(E163)</f>
        <v>748395167</v>
      </c>
      <c r="F162" s="18">
        <f t="shared" si="455"/>
        <v>746400724</v>
      </c>
      <c r="G162" s="18">
        <f t="shared" si="455"/>
        <v>435510458</v>
      </c>
      <c r="H162" s="18">
        <f t="shared" si="455"/>
        <v>102917553</v>
      </c>
      <c r="I162" s="18">
        <f t="shared" si="455"/>
        <v>97095675</v>
      </c>
      <c r="J162" s="18">
        <f t="shared" si="455"/>
        <v>69105370</v>
      </c>
      <c r="K162" s="18">
        <f t="shared" si="455"/>
        <v>571729</v>
      </c>
      <c r="L162" s="18">
        <f t="shared" si="455"/>
        <v>17288812</v>
      </c>
      <c r="M162" s="18">
        <f t="shared" si="455"/>
        <v>0</v>
      </c>
      <c r="N162" s="18">
        <f t="shared" si="455"/>
        <v>8103292</v>
      </c>
      <c r="O162" s="18">
        <f t="shared" si="455"/>
        <v>2026472</v>
      </c>
      <c r="P162" s="18">
        <f t="shared" si="455"/>
        <v>0</v>
      </c>
      <c r="Q162" s="18">
        <f t="shared" si="455"/>
        <v>0</v>
      </c>
      <c r="R162" s="18">
        <f t="shared" si="455"/>
        <v>0</v>
      </c>
      <c r="S162" s="18">
        <f t="shared" si="455"/>
        <v>0</v>
      </c>
      <c r="T162" s="18">
        <f t="shared" si="455"/>
        <v>983348</v>
      </c>
      <c r="U162" s="18">
        <f t="shared" si="455"/>
        <v>25231239</v>
      </c>
      <c r="V162" s="18">
        <f t="shared" si="455"/>
        <v>592658</v>
      </c>
      <c r="W162" s="18">
        <f t="shared" si="455"/>
        <v>11918560</v>
      </c>
      <c r="X162" s="18">
        <f t="shared" si="455"/>
        <v>6587823</v>
      </c>
      <c r="Y162" s="18">
        <f t="shared" si="455"/>
        <v>5368371</v>
      </c>
      <c r="Z162" s="18">
        <f t="shared" si="455"/>
        <v>670424</v>
      </c>
      <c r="AA162" s="18">
        <f t="shared" si="455"/>
        <v>0</v>
      </c>
      <c r="AB162" s="18">
        <f t="shared" si="455"/>
        <v>0</v>
      </c>
      <c r="AC162" s="18">
        <f t="shared" si="455"/>
        <v>93403</v>
      </c>
      <c r="AD162" s="18">
        <f t="shared" si="455"/>
        <v>0</v>
      </c>
      <c r="AE162" s="18">
        <f t="shared" si="455"/>
        <v>84662451</v>
      </c>
      <c r="AF162" s="18">
        <f t="shared" si="455"/>
        <v>0</v>
      </c>
      <c r="AG162" s="18">
        <f t="shared" si="455"/>
        <v>0</v>
      </c>
      <c r="AH162" s="18">
        <f t="shared" si="455"/>
        <v>0</v>
      </c>
      <c r="AI162" s="18">
        <f t="shared" si="455"/>
        <v>0</v>
      </c>
      <c r="AJ162" s="18">
        <f t="shared" si="455"/>
        <v>0</v>
      </c>
      <c r="AK162" s="18">
        <f t="shared" si="455"/>
        <v>0</v>
      </c>
      <c r="AL162" s="18">
        <f t="shared" si="455"/>
        <v>0</v>
      </c>
      <c r="AM162" s="18">
        <f t="shared" si="455"/>
        <v>0</v>
      </c>
      <c r="AN162" s="18">
        <f t="shared" si="455"/>
        <v>0</v>
      </c>
      <c r="AO162" s="18">
        <f t="shared" si="455"/>
        <v>0</v>
      </c>
      <c r="AP162" s="18">
        <f t="shared" si="455"/>
        <v>0</v>
      </c>
      <c r="AQ162" s="18">
        <f t="shared" si="455"/>
        <v>0</v>
      </c>
      <c r="AR162" s="18">
        <f t="shared" si="455"/>
        <v>1394873</v>
      </c>
      <c r="AS162" s="18">
        <f t="shared" si="455"/>
        <v>98200</v>
      </c>
      <c r="AT162" s="18">
        <f t="shared" si="455"/>
        <v>0</v>
      </c>
      <c r="AU162" s="18">
        <f t="shared" si="455"/>
        <v>1031112</v>
      </c>
      <c r="AV162" s="18">
        <f t="shared" si="455"/>
        <v>6032889</v>
      </c>
      <c r="AW162" s="18">
        <f t="shared" si="455"/>
        <v>0</v>
      </c>
      <c r="AX162" s="18">
        <f t="shared" si="455"/>
        <v>0</v>
      </c>
      <c r="AY162" s="18">
        <f t="shared" si="455"/>
        <v>27615240</v>
      </c>
      <c r="AZ162" s="18">
        <f t="shared" si="455"/>
        <v>48490137</v>
      </c>
      <c r="BA162" s="18">
        <f t="shared" si="455"/>
        <v>1994443</v>
      </c>
      <c r="BB162" s="18">
        <f t="shared" si="455"/>
        <v>0</v>
      </c>
      <c r="BC162" s="18">
        <f t="shared" si="455"/>
        <v>0</v>
      </c>
      <c r="BD162" s="18">
        <f t="shared" si="455"/>
        <v>0</v>
      </c>
      <c r="BE162" s="18">
        <f t="shared" si="455"/>
        <v>0</v>
      </c>
      <c r="BF162" s="18">
        <f t="shared" si="455"/>
        <v>0</v>
      </c>
      <c r="BG162" s="18">
        <f t="shared" si="455"/>
        <v>0</v>
      </c>
      <c r="BH162" s="18">
        <f t="shared" si="455"/>
        <v>0</v>
      </c>
      <c r="BI162" s="18">
        <f t="shared" si="455"/>
        <v>0</v>
      </c>
      <c r="BJ162" s="18">
        <f t="shared" si="455"/>
        <v>0</v>
      </c>
      <c r="BK162" s="18">
        <f t="shared" si="455"/>
        <v>0</v>
      </c>
      <c r="BL162" s="18">
        <f t="shared" si="455"/>
        <v>0</v>
      </c>
      <c r="BM162" s="18">
        <f t="shared" si="455"/>
        <v>0</v>
      </c>
      <c r="BN162" s="18">
        <f t="shared" si="455"/>
        <v>1994443</v>
      </c>
      <c r="BO162" s="18">
        <f t="shared" si="455"/>
        <v>0</v>
      </c>
      <c r="BP162" s="18">
        <f t="shared" si="455"/>
        <v>0</v>
      </c>
      <c r="BQ162" s="18">
        <f t="shared" si="455"/>
        <v>0</v>
      </c>
      <c r="BR162" s="18">
        <f t="shared" si="455"/>
        <v>0</v>
      </c>
      <c r="BS162" s="18">
        <f t="shared" si="455"/>
        <v>0</v>
      </c>
      <c r="BT162" s="18">
        <f t="shared" si="455"/>
        <v>0</v>
      </c>
      <c r="BU162" s="18">
        <f t="shared" ref="BU162:CV162" si="456">SUM(BU163)</f>
        <v>0</v>
      </c>
      <c r="BV162" s="18">
        <f t="shared" si="456"/>
        <v>0</v>
      </c>
      <c r="BW162" s="18">
        <f t="shared" si="456"/>
        <v>0</v>
      </c>
      <c r="BX162" s="18">
        <f t="shared" si="456"/>
        <v>0</v>
      </c>
      <c r="BY162" s="18">
        <f t="shared" si="456"/>
        <v>1994443</v>
      </c>
      <c r="BZ162" s="18">
        <f t="shared" si="456"/>
        <v>0</v>
      </c>
      <c r="CA162" s="18">
        <f t="shared" si="456"/>
        <v>0</v>
      </c>
      <c r="CB162" s="18">
        <f t="shared" si="456"/>
        <v>0</v>
      </c>
      <c r="CC162" s="18">
        <f t="shared" si="456"/>
        <v>0</v>
      </c>
      <c r="CD162" s="18">
        <f t="shared" si="456"/>
        <v>0</v>
      </c>
      <c r="CE162" s="18">
        <f t="shared" si="456"/>
        <v>0</v>
      </c>
      <c r="CF162" s="18">
        <f t="shared" si="456"/>
        <v>0</v>
      </c>
      <c r="CG162" s="18">
        <f t="shared" si="456"/>
        <v>0</v>
      </c>
      <c r="CH162" s="18">
        <f t="shared" si="456"/>
        <v>0</v>
      </c>
      <c r="CI162" s="18">
        <f t="shared" si="456"/>
        <v>0</v>
      </c>
      <c r="CJ162" s="18">
        <f t="shared" si="456"/>
        <v>0</v>
      </c>
      <c r="CK162" s="18">
        <f t="shared" si="456"/>
        <v>0</v>
      </c>
      <c r="CL162" s="18">
        <f t="shared" si="456"/>
        <v>0</v>
      </c>
      <c r="CM162" s="18">
        <f t="shared" si="456"/>
        <v>0</v>
      </c>
      <c r="CN162" s="18"/>
      <c r="CO162" s="18">
        <f t="shared" si="456"/>
        <v>0</v>
      </c>
      <c r="CP162" s="74"/>
      <c r="CQ162" s="74"/>
      <c r="CR162" s="74"/>
      <c r="CS162" s="18">
        <f t="shared" si="456"/>
        <v>0</v>
      </c>
      <c r="CT162" s="18">
        <f t="shared" si="456"/>
        <v>0</v>
      </c>
      <c r="CU162" s="18">
        <f t="shared" si="456"/>
        <v>0</v>
      </c>
      <c r="CV162" s="46">
        <f t="shared" si="456"/>
        <v>0</v>
      </c>
      <c r="CW162" s="57"/>
    </row>
    <row r="163" spans="1:101" s="58" customFormat="1" ht="15.6" x14ac:dyDescent="0.3">
      <c r="A163" s="105" t="s">
        <v>1</v>
      </c>
      <c r="B163" s="21" t="s">
        <v>58</v>
      </c>
      <c r="C163" s="22" t="s">
        <v>235</v>
      </c>
      <c r="D163" s="19">
        <f>SUM(E163+BZ163+CS163)</f>
        <v>748395167</v>
      </c>
      <c r="E163" s="19">
        <f>SUM(F163+BA163)</f>
        <v>748395167</v>
      </c>
      <c r="F163" s="19">
        <f>SUM(G163+H163+I163+P163+S163+T163+U163+AE163+AD163)</f>
        <v>746400724</v>
      </c>
      <c r="G163" s="23">
        <v>435510458</v>
      </c>
      <c r="H163" s="23">
        <v>102917553</v>
      </c>
      <c r="I163" s="19">
        <f t="shared" si="307"/>
        <v>97095675</v>
      </c>
      <c r="J163" s="23">
        <v>69105370</v>
      </c>
      <c r="K163" s="23">
        <v>571729</v>
      </c>
      <c r="L163" s="23">
        <v>17288812</v>
      </c>
      <c r="M163" s="23">
        <v>0</v>
      </c>
      <c r="N163" s="23">
        <v>8103292</v>
      </c>
      <c r="O163" s="23">
        <v>2026472</v>
      </c>
      <c r="P163" s="19">
        <f t="shared" si="308"/>
        <v>0</v>
      </c>
      <c r="Q163" s="19">
        <v>0</v>
      </c>
      <c r="R163" s="19"/>
      <c r="S163" s="19"/>
      <c r="T163" s="23">
        <v>983348</v>
      </c>
      <c r="U163" s="19">
        <f t="shared" ref="U163" si="457">SUM(V163:AC163)</f>
        <v>25231239</v>
      </c>
      <c r="V163" s="23">
        <v>592658</v>
      </c>
      <c r="W163" s="23">
        <v>11918560</v>
      </c>
      <c r="X163" s="23">
        <v>6587823</v>
      </c>
      <c r="Y163" s="23">
        <v>5368371</v>
      </c>
      <c r="Z163" s="23">
        <v>670424</v>
      </c>
      <c r="AA163" s="23">
        <v>0</v>
      </c>
      <c r="AB163" s="23">
        <v>0</v>
      </c>
      <c r="AC163" s="23">
        <v>93403</v>
      </c>
      <c r="AD163" s="23">
        <v>0</v>
      </c>
      <c r="AE163" s="19">
        <f>SUM(AF163:AZ163)</f>
        <v>84662451</v>
      </c>
      <c r="AF163" s="19">
        <v>0</v>
      </c>
      <c r="AG163" s="19">
        <v>0</v>
      </c>
      <c r="AH163" s="23"/>
      <c r="AI163" s="23"/>
      <c r="AJ163" s="23"/>
      <c r="AK163" s="23"/>
      <c r="AL163" s="23"/>
      <c r="AM163" s="23">
        <v>0</v>
      </c>
      <c r="AN163" s="23">
        <v>0</v>
      </c>
      <c r="AO163" s="23">
        <v>0</v>
      </c>
      <c r="AP163" s="23">
        <v>0</v>
      </c>
      <c r="AQ163" s="23">
        <v>0</v>
      </c>
      <c r="AR163" s="23">
        <v>1394873</v>
      </c>
      <c r="AS163" s="23">
        <v>98200</v>
      </c>
      <c r="AT163" s="23">
        <v>0</v>
      </c>
      <c r="AU163" s="23">
        <v>1031112</v>
      </c>
      <c r="AV163" s="23">
        <v>6032889</v>
      </c>
      <c r="AW163" s="23">
        <v>0</v>
      </c>
      <c r="AX163" s="23">
        <v>0</v>
      </c>
      <c r="AY163" s="23">
        <v>27615240</v>
      </c>
      <c r="AZ163" s="23">
        <v>48490137</v>
      </c>
      <c r="BA163" s="19">
        <f>SUM(BB163+BF163+BI163+BK163+BN163)</f>
        <v>1994443</v>
      </c>
      <c r="BB163" s="19">
        <f>SUM(BC163:BE163)</f>
        <v>0</v>
      </c>
      <c r="BC163" s="19">
        <v>0</v>
      </c>
      <c r="BD163" s="19">
        <v>0</v>
      </c>
      <c r="BE163" s="19">
        <v>0</v>
      </c>
      <c r="BF163" s="19">
        <f>SUM(BH163:BH163)</f>
        <v>0</v>
      </c>
      <c r="BG163" s="19">
        <v>0</v>
      </c>
      <c r="BH163" s="19">
        <v>0</v>
      </c>
      <c r="BI163" s="19">
        <v>0</v>
      </c>
      <c r="BJ163" s="19">
        <v>0</v>
      </c>
      <c r="BK163" s="19">
        <f t="shared" si="310"/>
        <v>0</v>
      </c>
      <c r="BL163" s="19">
        <v>0</v>
      </c>
      <c r="BM163" s="19">
        <v>0</v>
      </c>
      <c r="BN163" s="19">
        <f>SUM(BO163:BY163)</f>
        <v>1994443</v>
      </c>
      <c r="BO163" s="19">
        <v>0</v>
      </c>
      <c r="BP163" s="19">
        <v>0</v>
      </c>
      <c r="BQ163" s="19">
        <v>0</v>
      </c>
      <c r="BR163" s="19">
        <v>0</v>
      </c>
      <c r="BS163" s="19">
        <v>0</v>
      </c>
      <c r="BT163" s="19">
        <v>0</v>
      </c>
      <c r="BU163" s="19">
        <v>0</v>
      </c>
      <c r="BV163" s="19">
        <v>0</v>
      </c>
      <c r="BW163" s="19">
        <v>0</v>
      </c>
      <c r="BX163" s="19">
        <v>0</v>
      </c>
      <c r="BY163" s="23">
        <v>1994443</v>
      </c>
      <c r="BZ163" s="19">
        <f>SUM(CA163+CO163)</f>
        <v>0</v>
      </c>
      <c r="CA163" s="19">
        <f>SUM(CB163+CE163+CK163)</f>
        <v>0</v>
      </c>
      <c r="CB163" s="19">
        <f t="shared" si="311"/>
        <v>0</v>
      </c>
      <c r="CC163" s="19">
        <v>0</v>
      </c>
      <c r="CD163" s="23"/>
      <c r="CE163" s="19">
        <f>SUM(CF163:CJ163)</f>
        <v>0</v>
      </c>
      <c r="CF163" s="19">
        <v>0</v>
      </c>
      <c r="CG163" s="19"/>
      <c r="CH163" s="19">
        <v>0</v>
      </c>
      <c r="CI163" s="19">
        <v>0</v>
      </c>
      <c r="CJ163" s="19">
        <v>0</v>
      </c>
      <c r="CK163" s="19">
        <f>SUM(CL163:CN163)</f>
        <v>0</v>
      </c>
      <c r="CL163" s="23"/>
      <c r="CM163" s="19">
        <v>0</v>
      </c>
      <c r="CN163" s="19"/>
      <c r="CO163" s="19">
        <v>0</v>
      </c>
      <c r="CP163" s="75"/>
      <c r="CQ163" s="75"/>
      <c r="CR163" s="75"/>
      <c r="CS163" s="19">
        <f t="shared" si="313"/>
        <v>0</v>
      </c>
      <c r="CT163" s="19">
        <f t="shared" si="314"/>
        <v>0</v>
      </c>
      <c r="CU163" s="19">
        <v>0</v>
      </c>
      <c r="CV163" s="20">
        <v>0</v>
      </c>
      <c r="CW163" s="52"/>
    </row>
    <row r="164" spans="1:101" ht="31.2" x14ac:dyDescent="0.3">
      <c r="A164" s="104" t="s">
        <v>236</v>
      </c>
      <c r="B164" s="16" t="s">
        <v>1</v>
      </c>
      <c r="C164" s="17" t="s">
        <v>237</v>
      </c>
      <c r="D164" s="18">
        <f>SUM(D165:D166)</f>
        <v>169204950</v>
      </c>
      <c r="E164" s="18">
        <f t="shared" ref="E164:BT164" si="458">SUM(E165:E166)</f>
        <v>168988495</v>
      </c>
      <c r="F164" s="18">
        <f t="shared" si="458"/>
        <v>168934448</v>
      </c>
      <c r="G164" s="18">
        <f t="shared" si="458"/>
        <v>117122661</v>
      </c>
      <c r="H164" s="18">
        <f t="shared" si="458"/>
        <v>27504055</v>
      </c>
      <c r="I164" s="18">
        <f t="shared" si="458"/>
        <v>14444375</v>
      </c>
      <c r="J164" s="18">
        <f t="shared" si="458"/>
        <v>6040473</v>
      </c>
      <c r="K164" s="18">
        <f t="shared" si="458"/>
        <v>83340</v>
      </c>
      <c r="L164" s="18">
        <f t="shared" si="458"/>
        <v>0</v>
      </c>
      <c r="M164" s="18">
        <f t="shared" si="458"/>
        <v>0</v>
      </c>
      <c r="N164" s="18">
        <f t="shared" si="458"/>
        <v>8171242</v>
      </c>
      <c r="O164" s="18">
        <f t="shared" si="458"/>
        <v>149320</v>
      </c>
      <c r="P164" s="18">
        <f t="shared" si="458"/>
        <v>0</v>
      </c>
      <c r="Q164" s="18">
        <f t="shared" si="458"/>
        <v>0</v>
      </c>
      <c r="R164" s="18">
        <f t="shared" si="458"/>
        <v>0</v>
      </c>
      <c r="S164" s="18">
        <f t="shared" si="458"/>
        <v>0</v>
      </c>
      <c r="T164" s="18">
        <f t="shared" si="458"/>
        <v>475358</v>
      </c>
      <c r="U164" s="18">
        <f t="shared" si="458"/>
        <v>2532050</v>
      </c>
      <c r="V164" s="18">
        <f t="shared" si="458"/>
        <v>0</v>
      </c>
      <c r="W164" s="18">
        <f t="shared" si="458"/>
        <v>1477964</v>
      </c>
      <c r="X164" s="18">
        <f t="shared" si="458"/>
        <v>702237</v>
      </c>
      <c r="Y164" s="18">
        <f t="shared" si="458"/>
        <v>303247</v>
      </c>
      <c r="Z164" s="18">
        <f t="shared" si="458"/>
        <v>0</v>
      </c>
      <c r="AA164" s="18">
        <f t="shared" si="458"/>
        <v>0</v>
      </c>
      <c r="AB164" s="18">
        <f t="shared" si="458"/>
        <v>0</v>
      </c>
      <c r="AC164" s="18">
        <f t="shared" si="458"/>
        <v>48602</v>
      </c>
      <c r="AD164" s="18">
        <f t="shared" si="458"/>
        <v>0</v>
      </c>
      <c r="AE164" s="18">
        <f t="shared" si="458"/>
        <v>6855949</v>
      </c>
      <c r="AF164" s="18">
        <f t="shared" si="458"/>
        <v>0</v>
      </c>
      <c r="AG164" s="18">
        <f t="shared" si="458"/>
        <v>0</v>
      </c>
      <c r="AH164" s="18">
        <f t="shared" si="458"/>
        <v>0</v>
      </c>
      <c r="AI164" s="18">
        <f t="shared" si="458"/>
        <v>0</v>
      </c>
      <c r="AJ164" s="18">
        <f t="shared" si="458"/>
        <v>0</v>
      </c>
      <c r="AK164" s="18">
        <f t="shared" si="458"/>
        <v>0</v>
      </c>
      <c r="AL164" s="18">
        <f t="shared" si="458"/>
        <v>0</v>
      </c>
      <c r="AM164" s="18">
        <f t="shared" si="458"/>
        <v>0</v>
      </c>
      <c r="AN164" s="18">
        <f t="shared" si="458"/>
        <v>25657</v>
      </c>
      <c r="AO164" s="18">
        <f t="shared" si="458"/>
        <v>0</v>
      </c>
      <c r="AP164" s="18">
        <f t="shared" si="458"/>
        <v>0</v>
      </c>
      <c r="AQ164" s="18">
        <f t="shared" si="458"/>
        <v>0</v>
      </c>
      <c r="AR164" s="18">
        <f t="shared" si="458"/>
        <v>483854</v>
      </c>
      <c r="AS164" s="18">
        <f t="shared" si="458"/>
        <v>27600</v>
      </c>
      <c r="AT164" s="18">
        <f t="shared" si="458"/>
        <v>0</v>
      </c>
      <c r="AU164" s="18">
        <f t="shared" si="458"/>
        <v>833075</v>
      </c>
      <c r="AV164" s="18">
        <f t="shared" si="458"/>
        <v>0</v>
      </c>
      <c r="AW164" s="18">
        <f t="shared" si="458"/>
        <v>0</v>
      </c>
      <c r="AX164" s="18">
        <f t="shared" si="458"/>
        <v>0</v>
      </c>
      <c r="AY164" s="18"/>
      <c r="AZ164" s="18">
        <f t="shared" si="458"/>
        <v>5485763</v>
      </c>
      <c r="BA164" s="18">
        <f t="shared" si="458"/>
        <v>54047</v>
      </c>
      <c r="BB164" s="18">
        <f t="shared" si="458"/>
        <v>0</v>
      </c>
      <c r="BC164" s="18">
        <f t="shared" si="458"/>
        <v>0</v>
      </c>
      <c r="BD164" s="18">
        <f t="shared" si="458"/>
        <v>0</v>
      </c>
      <c r="BE164" s="18">
        <f t="shared" si="458"/>
        <v>0</v>
      </c>
      <c r="BF164" s="18">
        <f t="shared" si="458"/>
        <v>0</v>
      </c>
      <c r="BG164" s="18">
        <f t="shared" si="458"/>
        <v>0</v>
      </c>
      <c r="BH164" s="18">
        <f t="shared" si="458"/>
        <v>0</v>
      </c>
      <c r="BI164" s="18">
        <f t="shared" si="458"/>
        <v>0</v>
      </c>
      <c r="BJ164" s="18">
        <f t="shared" ref="BJ164" si="459">SUM(BJ165:BJ166)</f>
        <v>0</v>
      </c>
      <c r="BK164" s="18">
        <f t="shared" si="458"/>
        <v>0</v>
      </c>
      <c r="BL164" s="18">
        <f t="shared" si="458"/>
        <v>0</v>
      </c>
      <c r="BM164" s="18">
        <f t="shared" ref="BM164" si="460">SUM(BM165:BM166)</f>
        <v>0</v>
      </c>
      <c r="BN164" s="18">
        <f t="shared" si="458"/>
        <v>54047</v>
      </c>
      <c r="BO164" s="18">
        <f t="shared" si="458"/>
        <v>0</v>
      </c>
      <c r="BP164" s="18">
        <f t="shared" si="458"/>
        <v>0</v>
      </c>
      <c r="BQ164" s="18">
        <f t="shared" si="458"/>
        <v>0</v>
      </c>
      <c r="BR164" s="18">
        <f t="shared" si="458"/>
        <v>0</v>
      </c>
      <c r="BS164" s="18">
        <f t="shared" si="458"/>
        <v>0</v>
      </c>
      <c r="BT164" s="18">
        <f t="shared" si="458"/>
        <v>0</v>
      </c>
      <c r="BU164" s="18">
        <f t="shared" ref="BU164:CV164" si="461">SUM(BU165:BU166)</f>
        <v>0</v>
      </c>
      <c r="BV164" s="18">
        <f t="shared" si="461"/>
        <v>0</v>
      </c>
      <c r="BW164" s="18">
        <f t="shared" si="461"/>
        <v>0</v>
      </c>
      <c r="BX164" s="18">
        <f t="shared" si="461"/>
        <v>0</v>
      </c>
      <c r="BY164" s="18">
        <f t="shared" si="461"/>
        <v>54047</v>
      </c>
      <c r="BZ164" s="18">
        <f t="shared" si="461"/>
        <v>216455</v>
      </c>
      <c r="CA164" s="18">
        <f t="shared" si="461"/>
        <v>216455</v>
      </c>
      <c r="CB164" s="18">
        <f t="shared" si="461"/>
        <v>216455</v>
      </c>
      <c r="CC164" s="18">
        <f t="shared" si="461"/>
        <v>0</v>
      </c>
      <c r="CD164" s="18">
        <f t="shared" si="461"/>
        <v>216455</v>
      </c>
      <c r="CE164" s="18">
        <f t="shared" si="461"/>
        <v>0</v>
      </c>
      <c r="CF164" s="18">
        <f t="shared" si="461"/>
        <v>0</v>
      </c>
      <c r="CG164" s="18">
        <f t="shared" ref="CG164:CH164" si="462">SUM(CG165:CG166)</f>
        <v>0</v>
      </c>
      <c r="CH164" s="18">
        <f t="shared" si="462"/>
        <v>0</v>
      </c>
      <c r="CI164" s="18">
        <f t="shared" si="461"/>
        <v>0</v>
      </c>
      <c r="CJ164" s="18">
        <f t="shared" ref="CJ164" si="463">SUM(CJ165:CJ166)</f>
        <v>0</v>
      </c>
      <c r="CK164" s="18">
        <f t="shared" si="461"/>
        <v>0</v>
      </c>
      <c r="CL164" s="18">
        <f t="shared" ref="CL164" si="464">SUM(CL165:CL166)</f>
        <v>0</v>
      </c>
      <c r="CM164" s="18">
        <f t="shared" si="461"/>
        <v>0</v>
      </c>
      <c r="CN164" s="18">
        <f t="shared" si="461"/>
        <v>0</v>
      </c>
      <c r="CO164" s="18">
        <f t="shared" si="461"/>
        <v>0</v>
      </c>
      <c r="CP164" s="74"/>
      <c r="CQ164" s="74"/>
      <c r="CR164" s="74"/>
      <c r="CS164" s="18">
        <f t="shared" si="461"/>
        <v>0</v>
      </c>
      <c r="CT164" s="18">
        <f t="shared" si="461"/>
        <v>0</v>
      </c>
      <c r="CU164" s="18">
        <f t="shared" si="461"/>
        <v>0</v>
      </c>
      <c r="CV164" s="46">
        <f t="shared" si="461"/>
        <v>0</v>
      </c>
      <c r="CW164" s="57"/>
    </row>
    <row r="165" spans="1:101" ht="15.6" x14ac:dyDescent="0.3">
      <c r="A165" s="105" t="s">
        <v>1</v>
      </c>
      <c r="B165" s="21" t="s">
        <v>58</v>
      </c>
      <c r="C165" s="22" t="s">
        <v>238</v>
      </c>
      <c r="D165" s="19">
        <f>SUM(E165+BZ165+CS165)</f>
        <v>116502915</v>
      </c>
      <c r="E165" s="19">
        <f>SUM(F165+BA165)</f>
        <v>116286460</v>
      </c>
      <c r="F165" s="19">
        <f>SUM(G165+H165+I165+P165+S165+T165+U165+AE165+AD165)</f>
        <v>116286460</v>
      </c>
      <c r="G165" s="23">
        <v>82050547</v>
      </c>
      <c r="H165" s="23">
        <v>19095402</v>
      </c>
      <c r="I165" s="19">
        <f t="shared" si="307"/>
        <v>5713469</v>
      </c>
      <c r="J165" s="23">
        <v>5090658</v>
      </c>
      <c r="K165" s="23">
        <v>0</v>
      </c>
      <c r="L165" s="23">
        <v>0</v>
      </c>
      <c r="M165" s="23">
        <v>0</v>
      </c>
      <c r="N165" s="23">
        <v>516962</v>
      </c>
      <c r="O165" s="23">
        <v>105849</v>
      </c>
      <c r="P165" s="19">
        <f t="shared" si="308"/>
        <v>0</v>
      </c>
      <c r="Q165" s="19">
        <v>0</v>
      </c>
      <c r="R165" s="19"/>
      <c r="S165" s="19"/>
      <c r="T165" s="23">
        <v>432915</v>
      </c>
      <c r="U165" s="19">
        <f t="shared" ref="U165:U166" si="465">SUM(V165:AC165)</f>
        <v>2243825</v>
      </c>
      <c r="V165" s="23">
        <v>0</v>
      </c>
      <c r="W165" s="23">
        <v>1332440</v>
      </c>
      <c r="X165" s="23">
        <v>598643</v>
      </c>
      <c r="Y165" s="23">
        <v>264140</v>
      </c>
      <c r="Z165" s="23">
        <v>0</v>
      </c>
      <c r="AA165" s="23">
        <v>0</v>
      </c>
      <c r="AB165" s="23">
        <v>0</v>
      </c>
      <c r="AC165" s="23">
        <v>48602</v>
      </c>
      <c r="AD165" s="23">
        <v>0</v>
      </c>
      <c r="AE165" s="19">
        <f>SUM(AF165:AZ165)</f>
        <v>6750302</v>
      </c>
      <c r="AF165" s="19">
        <v>0</v>
      </c>
      <c r="AG165" s="19">
        <v>0</v>
      </c>
      <c r="AH165" s="23"/>
      <c r="AI165" s="23"/>
      <c r="AJ165" s="23"/>
      <c r="AK165" s="23"/>
      <c r="AL165" s="23"/>
      <c r="AM165" s="23">
        <v>0</v>
      </c>
      <c r="AN165" s="23">
        <v>0</v>
      </c>
      <c r="AO165" s="23">
        <v>0</v>
      </c>
      <c r="AP165" s="23">
        <v>0</v>
      </c>
      <c r="AQ165" s="23">
        <v>0</v>
      </c>
      <c r="AR165" s="23">
        <v>431464</v>
      </c>
      <c r="AS165" s="23">
        <v>0</v>
      </c>
      <c r="AT165" s="23">
        <v>0</v>
      </c>
      <c r="AU165" s="23">
        <v>833075</v>
      </c>
      <c r="AV165" s="23">
        <v>0</v>
      </c>
      <c r="AW165" s="23">
        <v>0</v>
      </c>
      <c r="AX165" s="23">
        <v>0</v>
      </c>
      <c r="AY165" s="23">
        <v>0</v>
      </c>
      <c r="AZ165" s="23">
        <v>5485763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si="310"/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23">
        <v>0</v>
      </c>
      <c r="BZ165" s="19">
        <f>SUM(CA165+CO165)</f>
        <v>216455</v>
      </c>
      <c r="CA165" s="19">
        <f>SUM(CB165+CE165+CK165)</f>
        <v>216455</v>
      </c>
      <c r="CB165" s="19">
        <f t="shared" si="311"/>
        <v>216455</v>
      </c>
      <c r="CC165" s="19">
        <v>0</v>
      </c>
      <c r="CD165" s="23">
        <v>216455</v>
      </c>
      <c r="CE165" s="19">
        <f>SUM(CF165:CJ165)</f>
        <v>0</v>
      </c>
      <c r="CF165" s="19">
        <v>0</v>
      </c>
      <c r="CG165" s="19">
        <v>0</v>
      </c>
      <c r="CH165" s="19">
        <v>0</v>
      </c>
      <c r="CI165" s="19">
        <v>0</v>
      </c>
      <c r="CJ165" s="19">
        <v>0</v>
      </c>
      <c r="CK165" s="19">
        <f>SUM(CL165:CN165)</f>
        <v>0</v>
      </c>
      <c r="CL165" s="23"/>
      <c r="CM165" s="23">
        <v>0</v>
      </c>
      <c r="CN165" s="23">
        <v>0</v>
      </c>
      <c r="CO165" s="19">
        <v>0</v>
      </c>
      <c r="CP165" s="75"/>
      <c r="CQ165" s="75"/>
      <c r="CR165" s="75"/>
      <c r="CS165" s="19">
        <f t="shared" si="313"/>
        <v>0</v>
      </c>
      <c r="CT165" s="19">
        <f t="shared" si="314"/>
        <v>0</v>
      </c>
      <c r="CU165" s="19">
        <v>0</v>
      </c>
      <c r="CV165" s="20">
        <v>0</v>
      </c>
      <c r="CW165" s="52"/>
    </row>
    <row r="166" spans="1:101" s="58" customFormat="1" ht="15.6" x14ac:dyDescent="0.3">
      <c r="A166" s="105" t="s">
        <v>1</v>
      </c>
      <c r="B166" s="21" t="s">
        <v>58</v>
      </c>
      <c r="C166" s="22" t="s">
        <v>239</v>
      </c>
      <c r="D166" s="19">
        <f>SUM(E166+BZ166+CS166)</f>
        <v>52702035</v>
      </c>
      <c r="E166" s="19">
        <f>SUM(F166+BA166)</f>
        <v>52702035</v>
      </c>
      <c r="F166" s="19">
        <f>SUM(G166+H166+I166+P166+S166+T166+U166+AE166+AD166)</f>
        <v>52647988</v>
      </c>
      <c r="G166" s="23">
        <v>35072114</v>
      </c>
      <c r="H166" s="23">
        <v>8408653</v>
      </c>
      <c r="I166" s="19">
        <f t="shared" si="307"/>
        <v>8730906</v>
      </c>
      <c r="J166" s="23">
        <v>949815</v>
      </c>
      <c r="K166" s="23">
        <v>83340</v>
      </c>
      <c r="L166" s="23">
        <v>0</v>
      </c>
      <c r="M166" s="23">
        <v>0</v>
      </c>
      <c r="N166" s="23">
        <v>7654280</v>
      </c>
      <c r="O166" s="23">
        <v>43471</v>
      </c>
      <c r="P166" s="19">
        <f t="shared" si="308"/>
        <v>0</v>
      </c>
      <c r="Q166" s="19">
        <v>0</v>
      </c>
      <c r="R166" s="23"/>
      <c r="S166" s="19"/>
      <c r="T166" s="23">
        <v>42443</v>
      </c>
      <c r="U166" s="19">
        <f t="shared" si="465"/>
        <v>288225</v>
      </c>
      <c r="V166" s="23">
        <v>0</v>
      </c>
      <c r="W166" s="23">
        <v>145524</v>
      </c>
      <c r="X166" s="23">
        <v>103594</v>
      </c>
      <c r="Y166" s="23">
        <v>39107</v>
      </c>
      <c r="Z166" s="23">
        <v>0</v>
      </c>
      <c r="AA166" s="23">
        <v>0</v>
      </c>
      <c r="AB166" s="23">
        <v>0</v>
      </c>
      <c r="AC166" s="23">
        <v>0</v>
      </c>
      <c r="AD166" s="23"/>
      <c r="AE166" s="19">
        <f>SUM(AF166:AZ166)</f>
        <v>105647</v>
      </c>
      <c r="AF166" s="19">
        <v>0</v>
      </c>
      <c r="AG166" s="19">
        <v>0</v>
      </c>
      <c r="AH166" s="23"/>
      <c r="AI166" s="23"/>
      <c r="AJ166" s="23"/>
      <c r="AK166" s="23"/>
      <c r="AL166" s="23"/>
      <c r="AM166" s="23">
        <v>0</v>
      </c>
      <c r="AN166" s="23">
        <v>25657</v>
      </c>
      <c r="AO166" s="23">
        <v>0</v>
      </c>
      <c r="AP166" s="23">
        <v>0</v>
      </c>
      <c r="AQ166" s="23">
        <v>0</v>
      </c>
      <c r="AR166" s="23">
        <v>52390</v>
      </c>
      <c r="AS166" s="23">
        <v>27600</v>
      </c>
      <c r="AT166" s="23">
        <v>0</v>
      </c>
      <c r="AU166" s="23">
        <v>0</v>
      </c>
      <c r="AV166" s="23">
        <v>0</v>
      </c>
      <c r="AW166" s="23">
        <v>0</v>
      </c>
      <c r="AX166" s="23">
        <v>0</v>
      </c>
      <c r="AY166" s="23">
        <v>0</v>
      </c>
      <c r="AZ166" s="23">
        <v>0</v>
      </c>
      <c r="BA166" s="19">
        <f>SUM(BB166+BF166+BI166+BK166+BN166)</f>
        <v>54047</v>
      </c>
      <c r="BB166" s="19">
        <f>SUM(BC166:BE166)</f>
        <v>0</v>
      </c>
      <c r="BC166" s="19">
        <v>0</v>
      </c>
      <c r="BD166" s="19">
        <v>0</v>
      </c>
      <c r="BE166" s="19">
        <v>0</v>
      </c>
      <c r="BF166" s="19">
        <f>SUM(BH166:BH166)</f>
        <v>0</v>
      </c>
      <c r="BG166" s="19">
        <v>0</v>
      </c>
      <c r="BH166" s="19">
        <v>0</v>
      </c>
      <c r="BI166" s="19">
        <v>0</v>
      </c>
      <c r="BJ166" s="19">
        <v>0</v>
      </c>
      <c r="BK166" s="19">
        <f t="shared" si="310"/>
        <v>0</v>
      </c>
      <c r="BL166" s="19">
        <v>0</v>
      </c>
      <c r="BM166" s="19">
        <v>0</v>
      </c>
      <c r="BN166" s="19">
        <f>SUM(BO166:BY166)</f>
        <v>54047</v>
      </c>
      <c r="BO166" s="19">
        <v>0</v>
      </c>
      <c r="BP166" s="19">
        <v>0</v>
      </c>
      <c r="BQ166" s="19">
        <v>0</v>
      </c>
      <c r="BR166" s="19">
        <v>0</v>
      </c>
      <c r="BS166" s="19">
        <v>0</v>
      </c>
      <c r="BT166" s="19">
        <v>0</v>
      </c>
      <c r="BU166" s="19">
        <v>0</v>
      </c>
      <c r="BV166" s="19">
        <v>0</v>
      </c>
      <c r="BW166" s="19">
        <v>0</v>
      </c>
      <c r="BX166" s="19">
        <v>0</v>
      </c>
      <c r="BY166" s="23">
        <v>54047</v>
      </c>
      <c r="BZ166" s="19">
        <f>SUM(CA166+CO166)</f>
        <v>0</v>
      </c>
      <c r="CA166" s="19">
        <f>SUM(CB166+CE166+CK166)</f>
        <v>0</v>
      </c>
      <c r="CB166" s="19">
        <f t="shared" si="311"/>
        <v>0</v>
      </c>
      <c r="CC166" s="19">
        <v>0</v>
      </c>
      <c r="CD166" s="23"/>
      <c r="CE166" s="19">
        <f>SUM(CF166:CJ166)</f>
        <v>0</v>
      </c>
      <c r="CF166" s="19">
        <v>0</v>
      </c>
      <c r="CG166" s="19">
        <v>0</v>
      </c>
      <c r="CH166" s="19">
        <v>0</v>
      </c>
      <c r="CI166" s="19">
        <v>0</v>
      </c>
      <c r="CJ166" s="19">
        <v>0</v>
      </c>
      <c r="CK166" s="19">
        <f>SUM(CL166:CN166)</f>
        <v>0</v>
      </c>
      <c r="CL166" s="23"/>
      <c r="CM166" s="23">
        <v>0</v>
      </c>
      <c r="CN166" s="23"/>
      <c r="CO166" s="19">
        <v>0</v>
      </c>
      <c r="CP166" s="75"/>
      <c r="CQ166" s="75"/>
      <c r="CR166" s="75"/>
      <c r="CS166" s="19">
        <f t="shared" si="313"/>
        <v>0</v>
      </c>
      <c r="CT166" s="19">
        <f t="shared" si="314"/>
        <v>0</v>
      </c>
      <c r="CU166" s="19">
        <v>0</v>
      </c>
      <c r="CV166" s="20">
        <v>0</v>
      </c>
      <c r="CW166" s="52"/>
    </row>
    <row r="167" spans="1:101" ht="31.2" x14ac:dyDescent="0.3">
      <c r="A167" s="104" t="s">
        <v>240</v>
      </c>
      <c r="B167" s="16" t="s">
        <v>1</v>
      </c>
      <c r="C167" s="17" t="s">
        <v>241</v>
      </c>
      <c r="D167" s="18">
        <f t="shared" ref="D167:BQ167" si="466">SUM(D168:D169)</f>
        <v>28271878</v>
      </c>
      <c r="E167" s="18">
        <f t="shared" si="466"/>
        <v>28214509</v>
      </c>
      <c r="F167" s="18">
        <f t="shared" si="466"/>
        <v>28012846</v>
      </c>
      <c r="G167" s="18">
        <f t="shared" si="466"/>
        <v>19671106</v>
      </c>
      <c r="H167" s="18">
        <f t="shared" si="466"/>
        <v>4530573</v>
      </c>
      <c r="I167" s="18">
        <f t="shared" si="466"/>
        <v>2555784</v>
      </c>
      <c r="J167" s="18">
        <f t="shared" si="466"/>
        <v>838606</v>
      </c>
      <c r="K167" s="18">
        <f t="shared" si="466"/>
        <v>126268</v>
      </c>
      <c r="L167" s="18">
        <f t="shared" si="466"/>
        <v>1114112</v>
      </c>
      <c r="M167" s="18">
        <f t="shared" si="466"/>
        <v>0</v>
      </c>
      <c r="N167" s="18">
        <f t="shared" si="466"/>
        <v>449868</v>
      </c>
      <c r="O167" s="18">
        <f t="shared" si="466"/>
        <v>26930</v>
      </c>
      <c r="P167" s="18">
        <f t="shared" si="466"/>
        <v>2329</v>
      </c>
      <c r="Q167" s="18">
        <f t="shared" si="466"/>
        <v>1310</v>
      </c>
      <c r="R167" s="18">
        <f t="shared" si="466"/>
        <v>1019</v>
      </c>
      <c r="S167" s="18">
        <f t="shared" si="466"/>
        <v>0</v>
      </c>
      <c r="T167" s="18">
        <f t="shared" si="466"/>
        <v>165093</v>
      </c>
      <c r="U167" s="18">
        <f t="shared" si="466"/>
        <v>953465</v>
      </c>
      <c r="V167" s="18">
        <f t="shared" si="466"/>
        <v>15850</v>
      </c>
      <c r="W167" s="18">
        <f t="shared" si="466"/>
        <v>517216</v>
      </c>
      <c r="X167" s="18">
        <f t="shared" si="466"/>
        <v>284489</v>
      </c>
      <c r="Y167" s="18">
        <f t="shared" si="466"/>
        <v>87099</v>
      </c>
      <c r="Z167" s="18">
        <f t="shared" si="466"/>
        <v>6200</v>
      </c>
      <c r="AA167" s="18">
        <f t="shared" si="466"/>
        <v>0</v>
      </c>
      <c r="AB167" s="18">
        <f t="shared" si="466"/>
        <v>0</v>
      </c>
      <c r="AC167" s="18">
        <f t="shared" si="466"/>
        <v>42611</v>
      </c>
      <c r="AD167" s="18">
        <f t="shared" si="466"/>
        <v>0</v>
      </c>
      <c r="AE167" s="18">
        <f t="shared" si="466"/>
        <v>134496</v>
      </c>
      <c r="AF167" s="18">
        <f t="shared" si="466"/>
        <v>0</v>
      </c>
      <c r="AG167" s="18">
        <f t="shared" si="466"/>
        <v>0</v>
      </c>
      <c r="AH167" s="18">
        <f t="shared" si="466"/>
        <v>0</v>
      </c>
      <c r="AI167" s="18">
        <f t="shared" si="466"/>
        <v>0</v>
      </c>
      <c r="AJ167" s="18">
        <f t="shared" si="466"/>
        <v>0</v>
      </c>
      <c r="AK167" s="18">
        <f t="shared" si="466"/>
        <v>0</v>
      </c>
      <c r="AL167" s="18">
        <f t="shared" si="466"/>
        <v>0</v>
      </c>
      <c r="AM167" s="18">
        <f t="shared" si="466"/>
        <v>0</v>
      </c>
      <c r="AN167" s="18">
        <f t="shared" si="466"/>
        <v>0</v>
      </c>
      <c r="AO167" s="18">
        <f t="shared" si="466"/>
        <v>0</v>
      </c>
      <c r="AP167" s="18">
        <f t="shared" si="466"/>
        <v>0</v>
      </c>
      <c r="AQ167" s="18">
        <f t="shared" si="466"/>
        <v>0</v>
      </c>
      <c r="AR167" s="18">
        <f t="shared" si="466"/>
        <v>46852</v>
      </c>
      <c r="AS167" s="18">
        <f t="shared" si="466"/>
        <v>0</v>
      </c>
      <c r="AT167" s="18">
        <f t="shared" si="466"/>
        <v>0</v>
      </c>
      <c r="AU167" s="18">
        <f t="shared" si="466"/>
        <v>58400</v>
      </c>
      <c r="AV167" s="18">
        <f t="shared" si="466"/>
        <v>0</v>
      </c>
      <c r="AW167" s="18">
        <f t="shared" si="466"/>
        <v>0</v>
      </c>
      <c r="AX167" s="18">
        <f t="shared" si="466"/>
        <v>0</v>
      </c>
      <c r="AY167" s="18"/>
      <c r="AZ167" s="18">
        <f t="shared" si="466"/>
        <v>29244</v>
      </c>
      <c r="BA167" s="18">
        <f t="shared" si="466"/>
        <v>201663</v>
      </c>
      <c r="BB167" s="18">
        <f t="shared" si="466"/>
        <v>0</v>
      </c>
      <c r="BC167" s="18">
        <f t="shared" si="466"/>
        <v>0</v>
      </c>
      <c r="BD167" s="18">
        <f t="shared" si="466"/>
        <v>0</v>
      </c>
      <c r="BE167" s="18">
        <f t="shared" si="466"/>
        <v>0</v>
      </c>
      <c r="BF167" s="18">
        <f t="shared" si="466"/>
        <v>0</v>
      </c>
      <c r="BG167" s="18">
        <f t="shared" si="466"/>
        <v>0</v>
      </c>
      <c r="BH167" s="18">
        <f t="shared" si="466"/>
        <v>0</v>
      </c>
      <c r="BI167" s="18">
        <f t="shared" si="466"/>
        <v>0</v>
      </c>
      <c r="BJ167" s="18">
        <f t="shared" ref="BJ167" si="467">SUM(BJ168:BJ169)</f>
        <v>0</v>
      </c>
      <c r="BK167" s="18">
        <f t="shared" si="466"/>
        <v>0</v>
      </c>
      <c r="BL167" s="18">
        <f t="shared" si="466"/>
        <v>0</v>
      </c>
      <c r="BM167" s="18">
        <f t="shared" ref="BM167" si="468">SUM(BM168:BM169)</f>
        <v>0</v>
      </c>
      <c r="BN167" s="18">
        <f t="shared" si="466"/>
        <v>201663</v>
      </c>
      <c r="BO167" s="18">
        <f t="shared" si="466"/>
        <v>0</v>
      </c>
      <c r="BP167" s="18">
        <f t="shared" si="466"/>
        <v>0</v>
      </c>
      <c r="BQ167" s="18">
        <f t="shared" si="466"/>
        <v>0</v>
      </c>
      <c r="BR167" s="18">
        <f t="shared" ref="BR167:CV167" si="469">SUM(BR168:BR169)</f>
        <v>0</v>
      </c>
      <c r="BS167" s="18">
        <f t="shared" si="469"/>
        <v>0</v>
      </c>
      <c r="BT167" s="18">
        <f t="shared" si="469"/>
        <v>0</v>
      </c>
      <c r="BU167" s="18">
        <f t="shared" si="469"/>
        <v>0</v>
      </c>
      <c r="BV167" s="18">
        <f t="shared" si="469"/>
        <v>0</v>
      </c>
      <c r="BW167" s="18">
        <f t="shared" si="469"/>
        <v>0</v>
      </c>
      <c r="BX167" s="18">
        <f t="shared" si="469"/>
        <v>0</v>
      </c>
      <c r="BY167" s="18">
        <f t="shared" si="469"/>
        <v>201663</v>
      </c>
      <c r="BZ167" s="18">
        <f t="shared" si="469"/>
        <v>57369</v>
      </c>
      <c r="CA167" s="18">
        <f t="shared" si="469"/>
        <v>57369</v>
      </c>
      <c r="CB167" s="18">
        <f t="shared" si="469"/>
        <v>57369</v>
      </c>
      <c r="CC167" s="18">
        <f t="shared" si="469"/>
        <v>0</v>
      </c>
      <c r="CD167" s="18">
        <f t="shared" si="469"/>
        <v>57369</v>
      </c>
      <c r="CE167" s="18">
        <f t="shared" si="469"/>
        <v>0</v>
      </c>
      <c r="CF167" s="18">
        <f t="shared" si="469"/>
        <v>0</v>
      </c>
      <c r="CG167" s="18">
        <f t="shared" ref="CG167:CH167" si="470">SUM(CG168:CG169)</f>
        <v>0</v>
      </c>
      <c r="CH167" s="18">
        <f t="shared" si="470"/>
        <v>0</v>
      </c>
      <c r="CI167" s="18">
        <f t="shared" si="469"/>
        <v>0</v>
      </c>
      <c r="CJ167" s="18">
        <f t="shared" ref="CJ167" si="471">SUM(CJ168:CJ169)</f>
        <v>0</v>
      </c>
      <c r="CK167" s="18">
        <f t="shared" si="469"/>
        <v>0</v>
      </c>
      <c r="CL167" s="18">
        <f t="shared" ref="CL167" si="472">SUM(CL168:CL169)</f>
        <v>0</v>
      </c>
      <c r="CM167" s="18">
        <f t="shared" si="469"/>
        <v>0</v>
      </c>
      <c r="CN167" s="18"/>
      <c r="CO167" s="18">
        <f t="shared" si="469"/>
        <v>0</v>
      </c>
      <c r="CP167" s="74"/>
      <c r="CQ167" s="74"/>
      <c r="CR167" s="74"/>
      <c r="CS167" s="18">
        <f t="shared" si="469"/>
        <v>0</v>
      </c>
      <c r="CT167" s="18">
        <f t="shared" si="469"/>
        <v>0</v>
      </c>
      <c r="CU167" s="18">
        <f t="shared" si="469"/>
        <v>0</v>
      </c>
      <c r="CV167" s="46">
        <f t="shared" si="469"/>
        <v>0</v>
      </c>
      <c r="CW167" s="57"/>
    </row>
    <row r="168" spans="1:101" ht="15.6" x14ac:dyDescent="0.3">
      <c r="A168" s="105" t="s">
        <v>1</v>
      </c>
      <c r="B168" s="21" t="s">
        <v>56</v>
      </c>
      <c r="C168" s="22" t="s">
        <v>242</v>
      </c>
      <c r="D168" s="19">
        <f>SUM(E168+BZ168+CS168)</f>
        <v>8472424</v>
      </c>
      <c r="E168" s="19">
        <f>SUM(F168+BA168)</f>
        <v>8415055</v>
      </c>
      <c r="F168" s="19">
        <f>SUM(G168+H168+I168+P168+S168+T168+U168+AE168+AD168)</f>
        <v>8213392</v>
      </c>
      <c r="G168" s="23">
        <v>5081779</v>
      </c>
      <c r="H168" s="23">
        <v>1188393</v>
      </c>
      <c r="I168" s="19">
        <f t="shared" si="307"/>
        <v>1581076</v>
      </c>
      <c r="J168" s="23">
        <v>180613</v>
      </c>
      <c r="K168" s="23">
        <v>126268</v>
      </c>
      <c r="L168" s="23">
        <v>1114112</v>
      </c>
      <c r="M168" s="23">
        <v>0</v>
      </c>
      <c r="N168" s="23">
        <v>133153</v>
      </c>
      <c r="O168" s="23">
        <v>26930</v>
      </c>
      <c r="P168" s="19">
        <f t="shared" si="308"/>
        <v>2329</v>
      </c>
      <c r="Q168" s="19">
        <v>1310</v>
      </c>
      <c r="R168" s="23">
        <v>1019</v>
      </c>
      <c r="S168" s="23">
        <v>0</v>
      </c>
      <c r="T168" s="23">
        <v>10638</v>
      </c>
      <c r="U168" s="19">
        <f t="shared" ref="U168:U169" si="473">SUM(V168:AC168)</f>
        <v>214681</v>
      </c>
      <c r="V168" s="23">
        <v>15850</v>
      </c>
      <c r="W168" s="23">
        <v>0</v>
      </c>
      <c r="X168" s="23">
        <v>90495</v>
      </c>
      <c r="Y168" s="23">
        <v>64828</v>
      </c>
      <c r="Z168" s="23">
        <v>6200</v>
      </c>
      <c r="AA168" s="23">
        <v>0</v>
      </c>
      <c r="AB168" s="23">
        <v>0</v>
      </c>
      <c r="AC168" s="23">
        <v>37308</v>
      </c>
      <c r="AD168" s="23">
        <v>0</v>
      </c>
      <c r="AE168" s="19">
        <f>SUM(AF168:AZ168)</f>
        <v>134496</v>
      </c>
      <c r="AF168" s="19">
        <v>0</v>
      </c>
      <c r="AG168" s="19">
        <v>0</v>
      </c>
      <c r="AH168" s="23">
        <v>0</v>
      </c>
      <c r="AI168" s="23">
        <v>0</v>
      </c>
      <c r="AJ168" s="23">
        <v>0</v>
      </c>
      <c r="AK168" s="23">
        <v>0</v>
      </c>
      <c r="AL168" s="23">
        <v>0</v>
      </c>
      <c r="AM168" s="23">
        <v>0</v>
      </c>
      <c r="AN168" s="23">
        <v>0</v>
      </c>
      <c r="AO168" s="23">
        <v>0</v>
      </c>
      <c r="AP168" s="23">
        <v>0</v>
      </c>
      <c r="AQ168" s="23">
        <v>0</v>
      </c>
      <c r="AR168" s="23">
        <v>46852</v>
      </c>
      <c r="AS168" s="23">
        <v>0</v>
      </c>
      <c r="AT168" s="23">
        <v>0</v>
      </c>
      <c r="AU168" s="23">
        <v>58400</v>
      </c>
      <c r="AV168" s="23">
        <v>0</v>
      </c>
      <c r="AW168" s="23">
        <v>0</v>
      </c>
      <c r="AX168" s="23">
        <v>0</v>
      </c>
      <c r="AY168" s="23">
        <v>0</v>
      </c>
      <c r="AZ168" s="23">
        <v>29244</v>
      </c>
      <c r="BA168" s="19">
        <f>SUM(BB168+BF168+BI168+BK168+BN168)</f>
        <v>201663</v>
      </c>
      <c r="BB168" s="19">
        <f>SUM(BC168:BE168)</f>
        <v>0</v>
      </c>
      <c r="BC168" s="19">
        <v>0</v>
      </c>
      <c r="BD168" s="19">
        <v>0</v>
      </c>
      <c r="BE168" s="19">
        <v>0</v>
      </c>
      <c r="BF168" s="19">
        <f>SUM(BH168:BH168)</f>
        <v>0</v>
      </c>
      <c r="BG168" s="19">
        <v>0</v>
      </c>
      <c r="BH168" s="19">
        <v>0</v>
      </c>
      <c r="BI168" s="19">
        <v>0</v>
      </c>
      <c r="BJ168" s="19">
        <v>0</v>
      </c>
      <c r="BK168" s="19">
        <f t="shared" si="310"/>
        <v>0</v>
      </c>
      <c r="BL168" s="19">
        <v>0</v>
      </c>
      <c r="BM168" s="19">
        <v>0</v>
      </c>
      <c r="BN168" s="19">
        <f>SUM(BO168:BY168)</f>
        <v>201663</v>
      </c>
      <c r="BO168" s="19">
        <v>0</v>
      </c>
      <c r="BP168" s="19">
        <v>0</v>
      </c>
      <c r="BQ168" s="19">
        <v>0</v>
      </c>
      <c r="BR168" s="19">
        <v>0</v>
      </c>
      <c r="BS168" s="19">
        <v>0</v>
      </c>
      <c r="BT168" s="19">
        <v>0</v>
      </c>
      <c r="BU168" s="19">
        <v>0</v>
      </c>
      <c r="BV168" s="19">
        <v>0</v>
      </c>
      <c r="BW168" s="19">
        <v>0</v>
      </c>
      <c r="BX168" s="19">
        <v>0</v>
      </c>
      <c r="BY168" s="23">
        <v>201663</v>
      </c>
      <c r="BZ168" s="19">
        <f>SUM(CA168+CO168)</f>
        <v>57369</v>
      </c>
      <c r="CA168" s="19">
        <f>SUM(CB168+CE168+CK168)</f>
        <v>57369</v>
      </c>
      <c r="CB168" s="19">
        <f t="shared" si="311"/>
        <v>57369</v>
      </c>
      <c r="CC168" s="19">
        <v>0</v>
      </c>
      <c r="CD168" s="19">
        <v>57369</v>
      </c>
      <c r="CE168" s="19">
        <f>SUM(CF168:CJ168)</f>
        <v>0</v>
      </c>
      <c r="CF168" s="19">
        <v>0</v>
      </c>
      <c r="CG168" s="19">
        <v>0</v>
      </c>
      <c r="CH168" s="19">
        <v>0</v>
      </c>
      <c r="CI168" s="19">
        <v>0</v>
      </c>
      <c r="CJ168" s="19">
        <v>0</v>
      </c>
      <c r="CK168" s="19">
        <f>SUM(CL168:CN168)</f>
        <v>0</v>
      </c>
      <c r="CL168" s="19">
        <v>0</v>
      </c>
      <c r="CM168" s="19">
        <v>0</v>
      </c>
      <c r="CN168" s="19"/>
      <c r="CO168" s="19">
        <v>0</v>
      </c>
      <c r="CP168" s="75"/>
      <c r="CQ168" s="75"/>
      <c r="CR168" s="75"/>
      <c r="CS168" s="19">
        <f t="shared" si="313"/>
        <v>0</v>
      </c>
      <c r="CT168" s="19">
        <f t="shared" si="314"/>
        <v>0</v>
      </c>
      <c r="CU168" s="19">
        <v>0</v>
      </c>
      <c r="CV168" s="20">
        <v>0</v>
      </c>
      <c r="CW168" s="52"/>
    </row>
    <row r="169" spans="1:101" s="58" customFormat="1" ht="15.6" x14ac:dyDescent="0.3">
      <c r="A169" s="105" t="s">
        <v>1</v>
      </c>
      <c r="B169" s="21" t="s">
        <v>58</v>
      </c>
      <c r="C169" s="22" t="s">
        <v>243</v>
      </c>
      <c r="D169" s="19">
        <f>SUM(E169+BZ169+CS169)</f>
        <v>19799454</v>
      </c>
      <c r="E169" s="19">
        <f>SUM(F169+BA169)</f>
        <v>19799454</v>
      </c>
      <c r="F169" s="19">
        <f>SUM(G169+H169+I169+P169+S169+T169+U169+AE169+AD169)</f>
        <v>19799454</v>
      </c>
      <c r="G169" s="23">
        <v>14589327</v>
      </c>
      <c r="H169" s="23">
        <v>3342180</v>
      </c>
      <c r="I169" s="19">
        <f t="shared" si="307"/>
        <v>974708</v>
      </c>
      <c r="J169" s="23">
        <v>657993</v>
      </c>
      <c r="K169" s="23">
        <v>0</v>
      </c>
      <c r="L169" s="23">
        <v>0</v>
      </c>
      <c r="M169" s="23">
        <v>0</v>
      </c>
      <c r="N169" s="23">
        <v>316715</v>
      </c>
      <c r="O169" s="23">
        <v>0</v>
      </c>
      <c r="P169" s="19">
        <f t="shared" si="308"/>
        <v>0</v>
      </c>
      <c r="Q169" s="19">
        <v>0</v>
      </c>
      <c r="R169" s="23">
        <v>0</v>
      </c>
      <c r="S169" s="23">
        <v>0</v>
      </c>
      <c r="T169" s="23">
        <v>154455</v>
      </c>
      <c r="U169" s="19">
        <f t="shared" si="473"/>
        <v>738784</v>
      </c>
      <c r="V169" s="23">
        <v>0</v>
      </c>
      <c r="W169" s="23">
        <v>517216</v>
      </c>
      <c r="X169" s="23">
        <v>193994</v>
      </c>
      <c r="Y169" s="23">
        <v>22271</v>
      </c>
      <c r="Z169" s="23">
        <v>0</v>
      </c>
      <c r="AA169" s="23">
        <v>0</v>
      </c>
      <c r="AB169" s="23">
        <v>0</v>
      </c>
      <c r="AC169" s="23">
        <v>5303</v>
      </c>
      <c r="AD169" s="23">
        <v>0</v>
      </c>
      <c r="AE169" s="19">
        <f>SUM(AF169:AZ169)</f>
        <v>0</v>
      </c>
      <c r="AF169" s="19">
        <v>0</v>
      </c>
      <c r="AG169" s="19">
        <v>0</v>
      </c>
      <c r="AH169" s="23">
        <v>0</v>
      </c>
      <c r="AI169" s="23">
        <v>0</v>
      </c>
      <c r="AJ169" s="23">
        <v>0</v>
      </c>
      <c r="AK169" s="23">
        <v>0</v>
      </c>
      <c r="AL169" s="23">
        <v>0</v>
      </c>
      <c r="AM169" s="23">
        <v>0</v>
      </c>
      <c r="AN169" s="23">
        <v>0</v>
      </c>
      <c r="AO169" s="23">
        <v>0</v>
      </c>
      <c r="AP169" s="23">
        <v>0</v>
      </c>
      <c r="AQ169" s="23">
        <v>0</v>
      </c>
      <c r="AR169" s="23">
        <v>0</v>
      </c>
      <c r="AS169" s="23">
        <v>0</v>
      </c>
      <c r="AT169" s="23">
        <v>0</v>
      </c>
      <c r="AU169" s="23">
        <v>0</v>
      </c>
      <c r="AV169" s="23">
        <v>0</v>
      </c>
      <c r="AW169" s="23">
        <v>0</v>
      </c>
      <c r="AX169" s="23">
        <v>0</v>
      </c>
      <c r="AY169" s="23">
        <v>0</v>
      </c>
      <c r="AZ169" s="23">
        <v>0</v>
      </c>
      <c r="BA169" s="19">
        <f>SUM(BB169+BF169+BI169+BK169+BN169)</f>
        <v>0</v>
      </c>
      <c r="BB169" s="19">
        <f>SUM(BC169:BE169)</f>
        <v>0</v>
      </c>
      <c r="BC169" s="19">
        <v>0</v>
      </c>
      <c r="BD169" s="19">
        <v>0</v>
      </c>
      <c r="BE169" s="19">
        <v>0</v>
      </c>
      <c r="BF169" s="19">
        <f>SUM(BH169:BH169)</f>
        <v>0</v>
      </c>
      <c r="BG169" s="19">
        <v>0</v>
      </c>
      <c r="BH169" s="19">
        <v>0</v>
      </c>
      <c r="BI169" s="19">
        <v>0</v>
      </c>
      <c r="BJ169" s="19">
        <v>0</v>
      </c>
      <c r="BK169" s="19">
        <f t="shared" si="310"/>
        <v>0</v>
      </c>
      <c r="BL169" s="19">
        <v>0</v>
      </c>
      <c r="BM169" s="19">
        <v>0</v>
      </c>
      <c r="BN169" s="19">
        <f>SUM(BO169:BY169)</f>
        <v>0</v>
      </c>
      <c r="BO169" s="19">
        <v>0</v>
      </c>
      <c r="BP169" s="19">
        <v>0</v>
      </c>
      <c r="BQ169" s="19">
        <v>0</v>
      </c>
      <c r="BR169" s="19">
        <v>0</v>
      </c>
      <c r="BS169" s="19">
        <v>0</v>
      </c>
      <c r="BT169" s="19">
        <v>0</v>
      </c>
      <c r="BU169" s="19">
        <v>0</v>
      </c>
      <c r="BV169" s="19">
        <v>0</v>
      </c>
      <c r="BW169" s="19">
        <v>0</v>
      </c>
      <c r="BX169" s="19">
        <v>0</v>
      </c>
      <c r="BY169" s="19">
        <v>0</v>
      </c>
      <c r="BZ169" s="19">
        <f>SUM(CA169+CO169)</f>
        <v>0</v>
      </c>
      <c r="CA169" s="19">
        <f>SUM(CB169+CE169+CK169)</f>
        <v>0</v>
      </c>
      <c r="CB169" s="19">
        <f t="shared" si="311"/>
        <v>0</v>
      </c>
      <c r="CC169" s="19">
        <v>0</v>
      </c>
      <c r="CD169" s="19"/>
      <c r="CE169" s="19">
        <f>SUM(CF169:CJ169)</f>
        <v>0</v>
      </c>
      <c r="CF169" s="19">
        <v>0</v>
      </c>
      <c r="CG169" s="19">
        <v>0</v>
      </c>
      <c r="CH169" s="19">
        <v>0</v>
      </c>
      <c r="CI169" s="19">
        <v>0</v>
      </c>
      <c r="CJ169" s="19">
        <v>0</v>
      </c>
      <c r="CK169" s="19">
        <f>SUM(CL169:CN169)</f>
        <v>0</v>
      </c>
      <c r="CL169" s="19">
        <v>0</v>
      </c>
      <c r="CM169" s="19">
        <v>0</v>
      </c>
      <c r="CN169" s="19"/>
      <c r="CO169" s="19">
        <v>0</v>
      </c>
      <c r="CP169" s="75"/>
      <c r="CQ169" s="75"/>
      <c r="CR169" s="75"/>
      <c r="CS169" s="19">
        <f t="shared" si="313"/>
        <v>0</v>
      </c>
      <c r="CT169" s="19">
        <f t="shared" si="314"/>
        <v>0</v>
      </c>
      <c r="CU169" s="19">
        <v>0</v>
      </c>
      <c r="CV169" s="20">
        <v>0</v>
      </c>
      <c r="CW169" s="52"/>
    </row>
    <row r="170" spans="1:101" ht="31.2" x14ac:dyDescent="0.3">
      <c r="A170" s="104" t="s">
        <v>244</v>
      </c>
      <c r="B170" s="16" t="s">
        <v>1</v>
      </c>
      <c r="C170" s="17" t="s">
        <v>530</v>
      </c>
      <c r="D170" s="18">
        <f>SUM(D171)</f>
        <v>30288436</v>
      </c>
      <c r="E170" s="18">
        <f t="shared" ref="E170:BT170" si="474">SUM(E171)</f>
        <v>30288436</v>
      </c>
      <c r="F170" s="18">
        <f t="shared" si="474"/>
        <v>30288436</v>
      </c>
      <c r="G170" s="18">
        <f t="shared" si="474"/>
        <v>0</v>
      </c>
      <c r="H170" s="18">
        <f t="shared" si="474"/>
        <v>0</v>
      </c>
      <c r="I170" s="18">
        <f t="shared" si="474"/>
        <v>28853754</v>
      </c>
      <c r="J170" s="18">
        <f t="shared" si="474"/>
        <v>28853754</v>
      </c>
      <c r="K170" s="18">
        <f t="shared" si="474"/>
        <v>0</v>
      </c>
      <c r="L170" s="18">
        <f t="shared" si="474"/>
        <v>0</v>
      </c>
      <c r="M170" s="18">
        <f t="shared" si="474"/>
        <v>0</v>
      </c>
      <c r="N170" s="18">
        <f t="shared" si="474"/>
        <v>0</v>
      </c>
      <c r="O170" s="18">
        <f t="shared" si="474"/>
        <v>0</v>
      </c>
      <c r="P170" s="18">
        <f t="shared" si="474"/>
        <v>0</v>
      </c>
      <c r="Q170" s="18">
        <f t="shared" si="474"/>
        <v>0</v>
      </c>
      <c r="R170" s="18">
        <f t="shared" si="474"/>
        <v>0</v>
      </c>
      <c r="S170" s="18">
        <f t="shared" si="474"/>
        <v>0</v>
      </c>
      <c r="T170" s="18">
        <f t="shared" si="474"/>
        <v>0</v>
      </c>
      <c r="U170" s="18">
        <f t="shared" si="474"/>
        <v>0</v>
      </c>
      <c r="V170" s="18">
        <f t="shared" si="474"/>
        <v>0</v>
      </c>
      <c r="W170" s="18">
        <f t="shared" si="474"/>
        <v>0</v>
      </c>
      <c r="X170" s="18">
        <f t="shared" si="474"/>
        <v>0</v>
      </c>
      <c r="Y170" s="18">
        <f t="shared" si="474"/>
        <v>0</v>
      </c>
      <c r="Z170" s="18">
        <f t="shared" si="474"/>
        <v>0</v>
      </c>
      <c r="AA170" s="18">
        <f t="shared" si="474"/>
        <v>0</v>
      </c>
      <c r="AB170" s="18">
        <f t="shared" si="474"/>
        <v>0</v>
      </c>
      <c r="AC170" s="18">
        <f t="shared" si="474"/>
        <v>0</v>
      </c>
      <c r="AD170" s="18">
        <f t="shared" si="474"/>
        <v>0</v>
      </c>
      <c r="AE170" s="18">
        <f t="shared" si="474"/>
        <v>1434682</v>
      </c>
      <c r="AF170" s="18">
        <f t="shared" si="474"/>
        <v>0</v>
      </c>
      <c r="AG170" s="18">
        <f t="shared" si="474"/>
        <v>0</v>
      </c>
      <c r="AH170" s="18">
        <f t="shared" si="474"/>
        <v>0</v>
      </c>
      <c r="AI170" s="18">
        <f t="shared" si="474"/>
        <v>0</v>
      </c>
      <c r="AJ170" s="18">
        <f t="shared" si="474"/>
        <v>0</v>
      </c>
      <c r="AK170" s="18">
        <f t="shared" si="474"/>
        <v>0</v>
      </c>
      <c r="AL170" s="18">
        <f t="shared" si="474"/>
        <v>0</v>
      </c>
      <c r="AM170" s="18">
        <f t="shared" si="474"/>
        <v>0</v>
      </c>
      <c r="AN170" s="18">
        <f t="shared" si="474"/>
        <v>0</v>
      </c>
      <c r="AO170" s="18">
        <f t="shared" si="474"/>
        <v>0</v>
      </c>
      <c r="AP170" s="18">
        <f t="shared" si="474"/>
        <v>0</v>
      </c>
      <c r="AQ170" s="18">
        <f t="shared" si="474"/>
        <v>0</v>
      </c>
      <c r="AR170" s="18">
        <f t="shared" si="474"/>
        <v>0</v>
      </c>
      <c r="AS170" s="18">
        <f t="shared" si="474"/>
        <v>0</v>
      </c>
      <c r="AT170" s="18"/>
      <c r="AU170" s="18"/>
      <c r="AV170" s="18">
        <f t="shared" si="474"/>
        <v>235857</v>
      </c>
      <c r="AW170" s="18">
        <f t="shared" si="474"/>
        <v>0</v>
      </c>
      <c r="AX170" s="18">
        <f t="shared" si="474"/>
        <v>0</v>
      </c>
      <c r="AY170" s="18"/>
      <c r="AZ170" s="18">
        <f t="shared" si="474"/>
        <v>1198825</v>
      </c>
      <c r="BA170" s="18">
        <f t="shared" si="474"/>
        <v>0</v>
      </c>
      <c r="BB170" s="18">
        <f t="shared" si="474"/>
        <v>0</v>
      </c>
      <c r="BC170" s="18">
        <f t="shared" si="474"/>
        <v>0</v>
      </c>
      <c r="BD170" s="18">
        <f t="shared" si="474"/>
        <v>0</v>
      </c>
      <c r="BE170" s="18">
        <f t="shared" si="474"/>
        <v>0</v>
      </c>
      <c r="BF170" s="18">
        <f t="shared" si="474"/>
        <v>0</v>
      </c>
      <c r="BG170" s="18">
        <f t="shared" si="474"/>
        <v>0</v>
      </c>
      <c r="BH170" s="18">
        <f t="shared" si="474"/>
        <v>0</v>
      </c>
      <c r="BI170" s="18">
        <f t="shared" si="474"/>
        <v>0</v>
      </c>
      <c r="BJ170" s="18">
        <f t="shared" si="474"/>
        <v>0</v>
      </c>
      <c r="BK170" s="18">
        <f t="shared" si="474"/>
        <v>0</v>
      </c>
      <c r="BL170" s="18">
        <f t="shared" si="474"/>
        <v>0</v>
      </c>
      <c r="BM170" s="18">
        <f t="shared" si="474"/>
        <v>0</v>
      </c>
      <c r="BN170" s="18">
        <f t="shared" si="474"/>
        <v>0</v>
      </c>
      <c r="BO170" s="18">
        <f t="shared" si="474"/>
        <v>0</v>
      </c>
      <c r="BP170" s="18">
        <f t="shared" si="474"/>
        <v>0</v>
      </c>
      <c r="BQ170" s="18">
        <f t="shared" si="474"/>
        <v>0</v>
      </c>
      <c r="BR170" s="18">
        <f t="shared" si="474"/>
        <v>0</v>
      </c>
      <c r="BS170" s="18">
        <f t="shared" si="474"/>
        <v>0</v>
      </c>
      <c r="BT170" s="18">
        <f t="shared" si="474"/>
        <v>0</v>
      </c>
      <c r="BU170" s="18">
        <f t="shared" ref="BU170:CV170" si="475">SUM(BU171)</f>
        <v>0</v>
      </c>
      <c r="BV170" s="18">
        <f t="shared" si="475"/>
        <v>0</v>
      </c>
      <c r="BW170" s="18">
        <f t="shared" si="475"/>
        <v>0</v>
      </c>
      <c r="BX170" s="18">
        <f t="shared" si="475"/>
        <v>0</v>
      </c>
      <c r="BY170" s="18">
        <f t="shared" si="475"/>
        <v>0</v>
      </c>
      <c r="BZ170" s="18">
        <f t="shared" si="475"/>
        <v>0</v>
      </c>
      <c r="CA170" s="18">
        <f t="shared" si="475"/>
        <v>0</v>
      </c>
      <c r="CB170" s="18">
        <f t="shared" si="475"/>
        <v>0</v>
      </c>
      <c r="CC170" s="18">
        <f t="shared" si="475"/>
        <v>0</v>
      </c>
      <c r="CD170" s="18">
        <f t="shared" si="475"/>
        <v>0</v>
      </c>
      <c r="CE170" s="18">
        <f t="shared" si="475"/>
        <v>0</v>
      </c>
      <c r="CF170" s="18">
        <f t="shared" si="475"/>
        <v>0</v>
      </c>
      <c r="CG170" s="18">
        <f t="shared" si="475"/>
        <v>0</v>
      </c>
      <c r="CH170" s="18">
        <f t="shared" si="475"/>
        <v>0</v>
      </c>
      <c r="CI170" s="18">
        <f t="shared" si="475"/>
        <v>0</v>
      </c>
      <c r="CJ170" s="18">
        <f t="shared" si="475"/>
        <v>0</v>
      </c>
      <c r="CK170" s="18">
        <f t="shared" si="475"/>
        <v>0</v>
      </c>
      <c r="CL170" s="18">
        <f t="shared" si="475"/>
        <v>0</v>
      </c>
      <c r="CM170" s="18">
        <f t="shared" si="475"/>
        <v>0</v>
      </c>
      <c r="CN170" s="18"/>
      <c r="CO170" s="18">
        <f t="shared" si="475"/>
        <v>0</v>
      </c>
      <c r="CP170" s="74"/>
      <c r="CQ170" s="74"/>
      <c r="CR170" s="74"/>
      <c r="CS170" s="18">
        <f t="shared" si="475"/>
        <v>0</v>
      </c>
      <c r="CT170" s="18">
        <f t="shared" si="475"/>
        <v>0</v>
      </c>
      <c r="CU170" s="18">
        <f t="shared" si="475"/>
        <v>0</v>
      </c>
      <c r="CV170" s="46">
        <f t="shared" si="475"/>
        <v>0</v>
      </c>
      <c r="CW170" s="57"/>
    </row>
    <row r="171" spans="1:101" s="58" customFormat="1" ht="31.2" x14ac:dyDescent="0.3">
      <c r="A171" s="105" t="s">
        <v>1</v>
      </c>
      <c r="B171" s="21" t="s">
        <v>58</v>
      </c>
      <c r="C171" s="22" t="s">
        <v>487</v>
      </c>
      <c r="D171" s="19">
        <f>SUM(E171+BZ171+CS171)</f>
        <v>30288436</v>
      </c>
      <c r="E171" s="19">
        <f>SUM(F171+BA171)</f>
        <v>30288436</v>
      </c>
      <c r="F171" s="19">
        <f>SUM(G171+H171+I171+P171+S171+T171+U171+AE171+AD171)</f>
        <v>30288436</v>
      </c>
      <c r="G171" s="19">
        <v>0</v>
      </c>
      <c r="H171" s="19">
        <v>0</v>
      </c>
      <c r="I171" s="19">
        <f t="shared" si="307"/>
        <v>28853754</v>
      </c>
      <c r="J171" s="23">
        <v>28853754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f t="shared" si="308"/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f t="shared" ref="U171" si="476">SUM(V171:AC171)</f>
        <v>0</v>
      </c>
      <c r="V171" s="19">
        <v>0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f>SUM(AF171:AZ171)</f>
        <v>1434682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0</v>
      </c>
      <c r="AV171" s="23">
        <v>235857</v>
      </c>
      <c r="AW171" s="19">
        <v>0</v>
      </c>
      <c r="AX171" s="19">
        <v>0</v>
      </c>
      <c r="AY171" s="19">
        <v>0</v>
      </c>
      <c r="AZ171" s="24">
        <v>1198825</v>
      </c>
      <c r="BA171" s="19">
        <f>SUM(BB171+BF171+BI171+BK171+BN171)</f>
        <v>0</v>
      </c>
      <c r="BB171" s="19">
        <f>SUM(BC171:BE171)</f>
        <v>0</v>
      </c>
      <c r="BC171" s="19">
        <v>0</v>
      </c>
      <c r="BD171" s="19">
        <v>0</v>
      </c>
      <c r="BE171" s="19">
        <v>0</v>
      </c>
      <c r="BF171" s="19">
        <f>SUM(BH171:BH171)</f>
        <v>0</v>
      </c>
      <c r="BG171" s="19">
        <v>0</v>
      </c>
      <c r="BH171" s="19">
        <v>0</v>
      </c>
      <c r="BI171" s="19">
        <v>0</v>
      </c>
      <c r="BJ171" s="19">
        <v>0</v>
      </c>
      <c r="BK171" s="19">
        <f t="shared" si="310"/>
        <v>0</v>
      </c>
      <c r="BL171" s="19">
        <v>0</v>
      </c>
      <c r="BM171" s="19">
        <v>0</v>
      </c>
      <c r="BN171" s="19">
        <f>SUM(BO171:BY171)</f>
        <v>0</v>
      </c>
      <c r="BO171" s="19">
        <v>0</v>
      </c>
      <c r="BP171" s="19">
        <v>0</v>
      </c>
      <c r="BQ171" s="19">
        <v>0</v>
      </c>
      <c r="BR171" s="19">
        <v>0</v>
      </c>
      <c r="BS171" s="19">
        <v>0</v>
      </c>
      <c r="BT171" s="19">
        <v>0</v>
      </c>
      <c r="BU171" s="19">
        <v>0</v>
      </c>
      <c r="BV171" s="19">
        <v>0</v>
      </c>
      <c r="BW171" s="19">
        <v>0</v>
      </c>
      <c r="BX171" s="19">
        <v>0</v>
      </c>
      <c r="BY171" s="19">
        <v>0</v>
      </c>
      <c r="BZ171" s="19">
        <f>SUM(CA171+CO171)</f>
        <v>0</v>
      </c>
      <c r="CA171" s="19">
        <f>SUM(CB171+CE171+CK171)</f>
        <v>0</v>
      </c>
      <c r="CB171" s="19">
        <f t="shared" si="311"/>
        <v>0</v>
      </c>
      <c r="CC171" s="19">
        <v>0</v>
      </c>
      <c r="CD171" s="19">
        <v>0</v>
      </c>
      <c r="CE171" s="19">
        <f>SUM(CF171:CJ171)</f>
        <v>0</v>
      </c>
      <c r="CF171" s="19">
        <v>0</v>
      </c>
      <c r="CG171" s="19">
        <v>0</v>
      </c>
      <c r="CH171" s="19">
        <v>0</v>
      </c>
      <c r="CI171" s="19">
        <v>0</v>
      </c>
      <c r="CJ171" s="19">
        <v>0</v>
      </c>
      <c r="CK171" s="19">
        <f>SUM(CL171:CN171)</f>
        <v>0</v>
      </c>
      <c r="CL171" s="19">
        <v>0</v>
      </c>
      <c r="CM171" s="19">
        <v>0</v>
      </c>
      <c r="CN171" s="19"/>
      <c r="CO171" s="19">
        <v>0</v>
      </c>
      <c r="CP171" s="75"/>
      <c r="CQ171" s="75"/>
      <c r="CR171" s="75"/>
      <c r="CS171" s="19">
        <f t="shared" si="313"/>
        <v>0</v>
      </c>
      <c r="CT171" s="19">
        <f t="shared" si="314"/>
        <v>0</v>
      </c>
      <c r="CU171" s="19">
        <v>0</v>
      </c>
      <c r="CV171" s="20">
        <v>0</v>
      </c>
      <c r="CW171" s="52"/>
    </row>
    <row r="172" spans="1:101" ht="31.2" x14ac:dyDescent="0.3">
      <c r="A172" s="104" t="s">
        <v>245</v>
      </c>
      <c r="B172" s="16" t="s">
        <v>1</v>
      </c>
      <c r="C172" s="17" t="s">
        <v>246</v>
      </c>
      <c r="D172" s="18">
        <f t="shared" ref="D172:AK172" si="477">SUM(D173)</f>
        <v>4636626</v>
      </c>
      <c r="E172" s="18">
        <f t="shared" si="477"/>
        <v>4636626</v>
      </c>
      <c r="F172" s="18">
        <f t="shared" si="477"/>
        <v>4636626</v>
      </c>
      <c r="G172" s="18">
        <f t="shared" si="477"/>
        <v>3630875</v>
      </c>
      <c r="H172" s="18">
        <f t="shared" si="477"/>
        <v>869769</v>
      </c>
      <c r="I172" s="18">
        <f t="shared" si="477"/>
        <v>94992</v>
      </c>
      <c r="J172" s="18">
        <f t="shared" si="477"/>
        <v>0</v>
      </c>
      <c r="K172" s="18">
        <f t="shared" si="477"/>
        <v>0</v>
      </c>
      <c r="L172" s="18">
        <f t="shared" si="477"/>
        <v>0</v>
      </c>
      <c r="M172" s="18">
        <f t="shared" si="477"/>
        <v>0</v>
      </c>
      <c r="N172" s="18">
        <f t="shared" si="477"/>
        <v>80529</v>
      </c>
      <c r="O172" s="18">
        <f t="shared" si="477"/>
        <v>14463</v>
      </c>
      <c r="P172" s="18">
        <f t="shared" si="477"/>
        <v>0</v>
      </c>
      <c r="Q172" s="18">
        <f t="shared" si="477"/>
        <v>0</v>
      </c>
      <c r="R172" s="18">
        <f t="shared" si="477"/>
        <v>0</v>
      </c>
      <c r="S172" s="18">
        <f t="shared" si="477"/>
        <v>0</v>
      </c>
      <c r="T172" s="18">
        <f t="shared" si="477"/>
        <v>40990</v>
      </c>
      <c r="U172" s="18">
        <f t="shared" si="477"/>
        <v>0</v>
      </c>
      <c r="V172" s="18">
        <f t="shared" si="477"/>
        <v>0</v>
      </c>
      <c r="W172" s="18">
        <f t="shared" si="477"/>
        <v>0</v>
      </c>
      <c r="X172" s="18">
        <f t="shared" si="477"/>
        <v>0</v>
      </c>
      <c r="Y172" s="18">
        <f t="shared" si="477"/>
        <v>0</v>
      </c>
      <c r="Z172" s="18">
        <f t="shared" si="477"/>
        <v>0</v>
      </c>
      <c r="AA172" s="18">
        <f t="shared" si="477"/>
        <v>0</v>
      </c>
      <c r="AB172" s="18">
        <f t="shared" si="477"/>
        <v>0</v>
      </c>
      <c r="AC172" s="18">
        <f t="shared" si="477"/>
        <v>0</v>
      </c>
      <c r="AD172" s="18">
        <f t="shared" si="477"/>
        <v>0</v>
      </c>
      <c r="AE172" s="18">
        <f t="shared" si="477"/>
        <v>0</v>
      </c>
      <c r="AF172" s="18">
        <f t="shared" si="477"/>
        <v>0</v>
      </c>
      <c r="AG172" s="18">
        <f t="shared" si="477"/>
        <v>0</v>
      </c>
      <c r="AH172" s="18">
        <f t="shared" si="477"/>
        <v>0</v>
      </c>
      <c r="AI172" s="18">
        <f t="shared" si="477"/>
        <v>0</v>
      </c>
      <c r="AJ172" s="18">
        <f t="shared" si="477"/>
        <v>0</v>
      </c>
      <c r="AK172" s="18">
        <f t="shared" si="477"/>
        <v>0</v>
      </c>
      <c r="AL172" s="18">
        <f t="shared" ref="AL172:CV172" si="478">SUM(AL173)</f>
        <v>0</v>
      </c>
      <c r="AM172" s="18">
        <f t="shared" si="478"/>
        <v>0</v>
      </c>
      <c r="AN172" s="18">
        <f t="shared" si="478"/>
        <v>0</v>
      </c>
      <c r="AO172" s="18">
        <f t="shared" si="478"/>
        <v>0</v>
      </c>
      <c r="AP172" s="18">
        <f t="shared" si="478"/>
        <v>0</v>
      </c>
      <c r="AQ172" s="18">
        <f t="shared" si="478"/>
        <v>0</v>
      </c>
      <c r="AR172" s="18">
        <f t="shared" si="478"/>
        <v>0</v>
      </c>
      <c r="AS172" s="18">
        <f t="shared" si="478"/>
        <v>0</v>
      </c>
      <c r="AT172" s="18"/>
      <c r="AU172" s="18"/>
      <c r="AV172" s="18">
        <f t="shared" si="478"/>
        <v>0</v>
      </c>
      <c r="AW172" s="18">
        <f t="shared" si="478"/>
        <v>0</v>
      </c>
      <c r="AX172" s="18">
        <f t="shared" si="478"/>
        <v>0</v>
      </c>
      <c r="AY172" s="18"/>
      <c r="AZ172" s="18">
        <f t="shared" si="478"/>
        <v>0</v>
      </c>
      <c r="BA172" s="18">
        <f t="shared" si="478"/>
        <v>0</v>
      </c>
      <c r="BB172" s="18">
        <f t="shared" si="478"/>
        <v>0</v>
      </c>
      <c r="BC172" s="18">
        <f t="shared" si="478"/>
        <v>0</v>
      </c>
      <c r="BD172" s="18">
        <f t="shared" si="478"/>
        <v>0</v>
      </c>
      <c r="BE172" s="18">
        <f t="shared" si="478"/>
        <v>0</v>
      </c>
      <c r="BF172" s="18">
        <f t="shared" si="478"/>
        <v>0</v>
      </c>
      <c r="BG172" s="18">
        <f t="shared" si="478"/>
        <v>0</v>
      </c>
      <c r="BH172" s="18">
        <f t="shared" si="478"/>
        <v>0</v>
      </c>
      <c r="BI172" s="18">
        <f t="shared" si="478"/>
        <v>0</v>
      </c>
      <c r="BJ172" s="18">
        <f t="shared" si="478"/>
        <v>0</v>
      </c>
      <c r="BK172" s="18">
        <f t="shared" si="478"/>
        <v>0</v>
      </c>
      <c r="BL172" s="18">
        <f t="shared" si="478"/>
        <v>0</v>
      </c>
      <c r="BM172" s="18">
        <f t="shared" si="478"/>
        <v>0</v>
      </c>
      <c r="BN172" s="18">
        <f t="shared" si="478"/>
        <v>0</v>
      </c>
      <c r="BO172" s="18">
        <f t="shared" si="478"/>
        <v>0</v>
      </c>
      <c r="BP172" s="18">
        <f t="shared" si="478"/>
        <v>0</v>
      </c>
      <c r="BQ172" s="18">
        <f t="shared" si="478"/>
        <v>0</v>
      </c>
      <c r="BR172" s="18">
        <f t="shared" si="478"/>
        <v>0</v>
      </c>
      <c r="BS172" s="18">
        <f t="shared" si="478"/>
        <v>0</v>
      </c>
      <c r="BT172" s="18">
        <f t="shared" si="478"/>
        <v>0</v>
      </c>
      <c r="BU172" s="18">
        <f t="shared" si="478"/>
        <v>0</v>
      </c>
      <c r="BV172" s="18">
        <f t="shared" si="478"/>
        <v>0</v>
      </c>
      <c r="BW172" s="18">
        <f t="shared" si="478"/>
        <v>0</v>
      </c>
      <c r="BX172" s="18">
        <f t="shared" si="478"/>
        <v>0</v>
      </c>
      <c r="BY172" s="18">
        <f t="shared" si="478"/>
        <v>0</v>
      </c>
      <c r="BZ172" s="18">
        <f t="shared" si="478"/>
        <v>0</v>
      </c>
      <c r="CA172" s="18">
        <f t="shared" si="478"/>
        <v>0</v>
      </c>
      <c r="CB172" s="18">
        <f t="shared" si="478"/>
        <v>0</v>
      </c>
      <c r="CC172" s="18">
        <f t="shared" si="478"/>
        <v>0</v>
      </c>
      <c r="CD172" s="18">
        <f t="shared" si="478"/>
        <v>0</v>
      </c>
      <c r="CE172" s="18">
        <f t="shared" si="478"/>
        <v>0</v>
      </c>
      <c r="CF172" s="18">
        <f t="shared" si="478"/>
        <v>0</v>
      </c>
      <c r="CG172" s="18">
        <f t="shared" si="478"/>
        <v>0</v>
      </c>
      <c r="CH172" s="18">
        <f t="shared" si="478"/>
        <v>0</v>
      </c>
      <c r="CI172" s="18">
        <f t="shared" si="478"/>
        <v>0</v>
      </c>
      <c r="CJ172" s="18">
        <f t="shared" si="478"/>
        <v>0</v>
      </c>
      <c r="CK172" s="18">
        <f t="shared" si="478"/>
        <v>0</v>
      </c>
      <c r="CL172" s="18">
        <f t="shared" si="478"/>
        <v>0</v>
      </c>
      <c r="CM172" s="18">
        <f t="shared" si="478"/>
        <v>0</v>
      </c>
      <c r="CN172" s="18"/>
      <c r="CO172" s="18">
        <f t="shared" si="478"/>
        <v>0</v>
      </c>
      <c r="CP172" s="74"/>
      <c r="CQ172" s="74"/>
      <c r="CR172" s="74"/>
      <c r="CS172" s="18">
        <f t="shared" si="478"/>
        <v>0</v>
      </c>
      <c r="CT172" s="18">
        <f t="shared" si="478"/>
        <v>0</v>
      </c>
      <c r="CU172" s="18">
        <f t="shared" si="478"/>
        <v>0</v>
      </c>
      <c r="CV172" s="46">
        <f t="shared" si="478"/>
        <v>0</v>
      </c>
      <c r="CW172" s="57"/>
    </row>
    <row r="173" spans="1:101" s="58" customFormat="1" ht="31.2" x14ac:dyDescent="0.3">
      <c r="A173" s="105" t="s">
        <v>1</v>
      </c>
      <c r="B173" s="21" t="s">
        <v>58</v>
      </c>
      <c r="C173" s="22" t="s">
        <v>247</v>
      </c>
      <c r="D173" s="19">
        <f>SUM(E173+BZ173+CS173)</f>
        <v>4636626</v>
      </c>
      <c r="E173" s="19">
        <f>SUM(F173+BA173)</f>
        <v>4636626</v>
      </c>
      <c r="F173" s="19">
        <f>SUM(G173+H173+I173+P173+S173+T173+U173+AE173+AD173)</f>
        <v>4636626</v>
      </c>
      <c r="G173" s="23">
        <v>3630875</v>
      </c>
      <c r="H173" s="23">
        <v>869769</v>
      </c>
      <c r="I173" s="19">
        <f t="shared" si="307"/>
        <v>94992</v>
      </c>
      <c r="J173" s="23"/>
      <c r="K173" s="23"/>
      <c r="L173" s="23"/>
      <c r="M173" s="23"/>
      <c r="N173" s="23">
        <v>80529</v>
      </c>
      <c r="O173" s="23">
        <v>14463</v>
      </c>
      <c r="P173" s="19">
        <f t="shared" si="308"/>
        <v>0</v>
      </c>
      <c r="Q173" s="19">
        <v>0</v>
      </c>
      <c r="R173" s="19">
        <v>0</v>
      </c>
      <c r="S173" s="19">
        <v>0</v>
      </c>
      <c r="T173" s="23">
        <v>40990</v>
      </c>
      <c r="U173" s="19">
        <f t="shared" ref="U173" si="479">SUM(V173:AC173)</f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f>SUM(AF173:AZ173)</f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23"/>
      <c r="AL173" s="23"/>
      <c r="AM173" s="23"/>
      <c r="AN173" s="23"/>
      <c r="AO173" s="23">
        <v>0</v>
      </c>
      <c r="AP173" s="23">
        <v>0</v>
      </c>
      <c r="AQ173" s="23">
        <v>0</v>
      </c>
      <c r="AR173" s="23">
        <v>0</v>
      </c>
      <c r="AS173" s="23">
        <v>0</v>
      </c>
      <c r="AT173" s="23">
        <v>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/>
      <c r="BA173" s="19">
        <f>SUM(BB173+BF173+BI173+BK173+BN173)</f>
        <v>0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10"/>
        <v>0</v>
      </c>
      <c r="BL173" s="19">
        <v>0</v>
      </c>
      <c r="BM173" s="19">
        <v>0</v>
      </c>
      <c r="BN173" s="19">
        <f>SUM(BO173:BY173)</f>
        <v>0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19">
        <v>0</v>
      </c>
      <c r="BZ173" s="19">
        <f>SUM(CA173+CO173)</f>
        <v>0</v>
      </c>
      <c r="CA173" s="19">
        <f>SUM(CB173+CE173+CK173)</f>
        <v>0</v>
      </c>
      <c r="CB173" s="19">
        <f t="shared" si="311"/>
        <v>0</v>
      </c>
      <c r="CC173" s="19">
        <v>0</v>
      </c>
      <c r="CD173" s="23"/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SUM(CL173:CN173)</f>
        <v>0</v>
      </c>
      <c r="CL173" s="19">
        <v>0</v>
      </c>
      <c r="CM173" s="19">
        <v>0</v>
      </c>
      <c r="CN173" s="19"/>
      <c r="CO173" s="19">
        <v>0</v>
      </c>
      <c r="CP173" s="75"/>
      <c r="CQ173" s="75"/>
      <c r="CR173" s="75"/>
      <c r="CS173" s="19">
        <f t="shared" si="313"/>
        <v>0</v>
      </c>
      <c r="CT173" s="19">
        <f t="shared" si="314"/>
        <v>0</v>
      </c>
      <c r="CU173" s="19">
        <v>0</v>
      </c>
      <c r="CV173" s="20">
        <v>0</v>
      </c>
      <c r="CW173" s="52"/>
    </row>
    <row r="174" spans="1:101" s="97" customFormat="1" ht="15.6" x14ac:dyDescent="0.3">
      <c r="A174" s="106" t="s">
        <v>248</v>
      </c>
      <c r="B174" s="25" t="s">
        <v>1</v>
      </c>
      <c r="C174" s="26" t="s">
        <v>249</v>
      </c>
      <c r="D174" s="27">
        <f t="shared" ref="D174:AS174" si="480">SUM(D175+D176+D177+D181+D183+D185+D187+D189+D197)</f>
        <v>773990112</v>
      </c>
      <c r="E174" s="27">
        <f t="shared" si="480"/>
        <v>773183090</v>
      </c>
      <c r="F174" s="27">
        <f t="shared" si="480"/>
        <v>259566074</v>
      </c>
      <c r="G174" s="27">
        <f t="shared" si="480"/>
        <v>24961909</v>
      </c>
      <c r="H174" s="27">
        <f t="shared" si="480"/>
        <v>5494359</v>
      </c>
      <c r="I174" s="27">
        <f t="shared" si="480"/>
        <v>14568424</v>
      </c>
      <c r="J174" s="27">
        <f t="shared" si="480"/>
        <v>1189331</v>
      </c>
      <c r="K174" s="27">
        <f t="shared" si="480"/>
        <v>562829</v>
      </c>
      <c r="L174" s="27">
        <f t="shared" si="480"/>
        <v>9029838</v>
      </c>
      <c r="M174" s="27">
        <f t="shared" si="480"/>
        <v>0</v>
      </c>
      <c r="N174" s="27">
        <f t="shared" si="480"/>
        <v>1352423</v>
      </c>
      <c r="O174" s="27">
        <f t="shared" si="480"/>
        <v>2434003</v>
      </c>
      <c r="P174" s="27">
        <f t="shared" si="480"/>
        <v>0</v>
      </c>
      <c r="Q174" s="27">
        <f t="shared" si="480"/>
        <v>0</v>
      </c>
      <c r="R174" s="27">
        <f t="shared" si="480"/>
        <v>0</v>
      </c>
      <c r="S174" s="27">
        <f t="shared" si="480"/>
        <v>0</v>
      </c>
      <c r="T174" s="27">
        <f t="shared" si="480"/>
        <v>176893</v>
      </c>
      <c r="U174" s="27">
        <f t="shared" si="480"/>
        <v>198997240</v>
      </c>
      <c r="V174" s="27">
        <f t="shared" si="480"/>
        <v>115512</v>
      </c>
      <c r="W174" s="27">
        <f t="shared" si="480"/>
        <v>982111</v>
      </c>
      <c r="X174" s="27">
        <f t="shared" si="480"/>
        <v>425407</v>
      </c>
      <c r="Y174" s="27">
        <f t="shared" si="480"/>
        <v>863940</v>
      </c>
      <c r="Z174" s="27">
        <f t="shared" si="480"/>
        <v>83507</v>
      </c>
      <c r="AA174" s="27">
        <f t="shared" si="480"/>
        <v>0</v>
      </c>
      <c r="AB174" s="27">
        <f t="shared" si="480"/>
        <v>196495973</v>
      </c>
      <c r="AC174" s="27">
        <f t="shared" si="480"/>
        <v>30790</v>
      </c>
      <c r="AD174" s="27">
        <f t="shared" si="480"/>
        <v>0</v>
      </c>
      <c r="AE174" s="27">
        <f t="shared" si="480"/>
        <v>15367249</v>
      </c>
      <c r="AF174" s="27">
        <f t="shared" si="480"/>
        <v>0</v>
      </c>
      <c r="AG174" s="27">
        <f t="shared" si="480"/>
        <v>0</v>
      </c>
      <c r="AH174" s="27">
        <f t="shared" si="480"/>
        <v>1500</v>
      </c>
      <c r="AI174" s="27">
        <f t="shared" si="480"/>
        <v>79207</v>
      </c>
      <c r="AJ174" s="27">
        <f t="shared" si="480"/>
        <v>0</v>
      </c>
      <c r="AK174" s="27">
        <f t="shared" si="480"/>
        <v>7431</v>
      </c>
      <c r="AL174" s="27">
        <f t="shared" si="480"/>
        <v>0</v>
      </c>
      <c r="AM174" s="27">
        <f t="shared" si="480"/>
        <v>1955</v>
      </c>
      <c r="AN174" s="27">
        <f t="shared" si="480"/>
        <v>0</v>
      </c>
      <c r="AO174" s="27">
        <f t="shared" si="480"/>
        <v>0</v>
      </c>
      <c r="AP174" s="27">
        <f t="shared" si="480"/>
        <v>0</v>
      </c>
      <c r="AQ174" s="27">
        <f t="shared" si="480"/>
        <v>0</v>
      </c>
      <c r="AR174" s="27">
        <f t="shared" si="480"/>
        <v>264637</v>
      </c>
      <c r="AS174" s="27">
        <f t="shared" si="480"/>
        <v>86699</v>
      </c>
      <c r="AT174" s="27"/>
      <c r="AU174" s="27"/>
      <c r="AV174" s="27">
        <f>SUM(AV175+AV176+AV177+AV181+AV183+AV185+AV187+AV189+AV197)</f>
        <v>14514310</v>
      </c>
      <c r="AW174" s="27">
        <f>SUM(AW175+AW176+AW177+AW181+AW183+AW185+AW187+AW189+AW197)</f>
        <v>23367</v>
      </c>
      <c r="AX174" s="27">
        <f>SUM(AX175+AX176+AX177+AX181+AX183+AX185+AX187+AX189+AX197)</f>
        <v>0</v>
      </c>
      <c r="AY174" s="27"/>
      <c r="AZ174" s="27">
        <f t="shared" ref="AZ174:CM174" si="481">SUM(AZ175+AZ176+AZ177+AZ181+AZ183+AZ185+AZ187+AZ189+AZ197)</f>
        <v>388143</v>
      </c>
      <c r="BA174" s="27">
        <f t="shared" si="481"/>
        <v>513617016</v>
      </c>
      <c r="BB174" s="27">
        <f t="shared" si="481"/>
        <v>0</v>
      </c>
      <c r="BC174" s="27">
        <f t="shared" si="481"/>
        <v>0</v>
      </c>
      <c r="BD174" s="27">
        <f t="shared" si="481"/>
        <v>0</v>
      </c>
      <c r="BE174" s="27">
        <f t="shared" si="481"/>
        <v>0</v>
      </c>
      <c r="BF174" s="27">
        <f t="shared" si="481"/>
        <v>0</v>
      </c>
      <c r="BG174" s="27">
        <f t="shared" si="481"/>
        <v>0</v>
      </c>
      <c r="BH174" s="27">
        <f t="shared" si="481"/>
        <v>0</v>
      </c>
      <c r="BI174" s="27">
        <f t="shared" si="481"/>
        <v>0</v>
      </c>
      <c r="BJ174" s="27">
        <f t="shared" ref="BJ174" si="482">SUM(BJ175+BJ176+BJ177+BJ181+BJ183+BJ185+BJ187+BJ189+BJ197)</f>
        <v>0</v>
      </c>
      <c r="BK174" s="27">
        <f t="shared" si="481"/>
        <v>0</v>
      </c>
      <c r="BL174" s="27">
        <f t="shared" si="481"/>
        <v>0</v>
      </c>
      <c r="BM174" s="27">
        <f t="shared" si="481"/>
        <v>0</v>
      </c>
      <c r="BN174" s="27">
        <f t="shared" si="481"/>
        <v>513617016</v>
      </c>
      <c r="BO174" s="27">
        <f t="shared" si="481"/>
        <v>61357239</v>
      </c>
      <c r="BP174" s="27">
        <f t="shared" si="481"/>
        <v>13158360</v>
      </c>
      <c r="BQ174" s="27">
        <f t="shared" si="481"/>
        <v>0</v>
      </c>
      <c r="BR174" s="27">
        <f t="shared" si="481"/>
        <v>25504374</v>
      </c>
      <c r="BS174" s="27">
        <f t="shared" si="481"/>
        <v>15000</v>
      </c>
      <c r="BT174" s="27">
        <f t="shared" si="481"/>
        <v>0</v>
      </c>
      <c r="BU174" s="27">
        <f t="shared" si="481"/>
        <v>179412887</v>
      </c>
      <c r="BV174" s="27">
        <f t="shared" si="481"/>
        <v>1763250</v>
      </c>
      <c r="BW174" s="27">
        <f t="shared" si="481"/>
        <v>286944</v>
      </c>
      <c r="BX174" s="27">
        <f t="shared" si="481"/>
        <v>207666416</v>
      </c>
      <c r="BY174" s="27">
        <f t="shared" si="481"/>
        <v>24452546</v>
      </c>
      <c r="BZ174" s="27">
        <f t="shared" si="481"/>
        <v>807022</v>
      </c>
      <c r="CA174" s="27">
        <f t="shared" si="481"/>
        <v>807022</v>
      </c>
      <c r="CB174" s="27">
        <f t="shared" si="481"/>
        <v>807022</v>
      </c>
      <c r="CC174" s="27">
        <f t="shared" si="481"/>
        <v>0</v>
      </c>
      <c r="CD174" s="27">
        <f t="shared" si="481"/>
        <v>807022</v>
      </c>
      <c r="CE174" s="27">
        <f t="shared" si="481"/>
        <v>0</v>
      </c>
      <c r="CF174" s="27">
        <f t="shared" si="481"/>
        <v>0</v>
      </c>
      <c r="CG174" s="27">
        <f t="shared" si="481"/>
        <v>0</v>
      </c>
      <c r="CH174" s="27">
        <f t="shared" si="481"/>
        <v>0</v>
      </c>
      <c r="CI174" s="27">
        <f t="shared" si="481"/>
        <v>0</v>
      </c>
      <c r="CJ174" s="27">
        <f t="shared" ref="CJ174" si="483">SUM(CJ175+CJ176+CJ177+CJ181+CJ183+CJ185+CJ187+CJ189+CJ197)</f>
        <v>0</v>
      </c>
      <c r="CK174" s="27">
        <f t="shared" si="481"/>
        <v>0</v>
      </c>
      <c r="CL174" s="27">
        <f t="shared" si="481"/>
        <v>0</v>
      </c>
      <c r="CM174" s="27">
        <f t="shared" si="481"/>
        <v>0</v>
      </c>
      <c r="CN174" s="27"/>
      <c r="CO174" s="27">
        <f t="shared" ref="CO174:CV174" si="484">SUM(CO175+CO176+CO177+CO181+CO183+CO185+CO187+CO189+CO197)</f>
        <v>0</v>
      </c>
      <c r="CP174" s="27">
        <f t="shared" si="484"/>
        <v>0</v>
      </c>
      <c r="CQ174" s="27">
        <f t="shared" si="484"/>
        <v>0</v>
      </c>
      <c r="CR174" s="27">
        <f t="shared" si="484"/>
        <v>0</v>
      </c>
      <c r="CS174" s="27">
        <f t="shared" si="484"/>
        <v>0</v>
      </c>
      <c r="CT174" s="27">
        <f t="shared" si="484"/>
        <v>0</v>
      </c>
      <c r="CU174" s="27">
        <f t="shared" si="484"/>
        <v>0</v>
      </c>
      <c r="CV174" s="60">
        <f t="shared" si="484"/>
        <v>0</v>
      </c>
      <c r="CW174" s="57"/>
    </row>
    <row r="175" spans="1:101" s="58" customFormat="1" ht="15.6" x14ac:dyDescent="0.3">
      <c r="A175" s="109" t="s">
        <v>250</v>
      </c>
      <c r="B175" s="93" t="s">
        <v>1</v>
      </c>
      <c r="C175" s="94" t="s">
        <v>251</v>
      </c>
      <c r="D175" s="74">
        <f>SUM(E175+BZ175+CS175)</f>
        <v>91751802</v>
      </c>
      <c r="E175" s="74">
        <f>SUM(F175+BA175)</f>
        <v>91751802</v>
      </c>
      <c r="F175" s="74">
        <f>SUM(G175+H175+I175+P175+S175+T175+U175+AE175+AD175)</f>
        <v>0</v>
      </c>
      <c r="G175" s="74">
        <v>0</v>
      </c>
      <c r="H175" s="74">
        <v>0</v>
      </c>
      <c r="I175" s="74">
        <f t="shared" si="307"/>
        <v>0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f t="shared" si="308"/>
        <v>0</v>
      </c>
      <c r="Q175" s="74">
        <v>0</v>
      </c>
      <c r="R175" s="74">
        <v>0</v>
      </c>
      <c r="S175" s="74">
        <v>0</v>
      </c>
      <c r="T175" s="74">
        <v>0</v>
      </c>
      <c r="U175" s="74">
        <f t="shared" ref="U175:U176" si="485">SUM(V175:AC175)</f>
        <v>0</v>
      </c>
      <c r="V175" s="74">
        <v>0</v>
      </c>
      <c r="W175" s="74">
        <v>0</v>
      </c>
      <c r="X175" s="74">
        <v>0</v>
      </c>
      <c r="Y175" s="74">
        <v>0</v>
      </c>
      <c r="Z175" s="74">
        <v>0</v>
      </c>
      <c r="AA175" s="74">
        <v>0</v>
      </c>
      <c r="AB175" s="74">
        <v>0</v>
      </c>
      <c r="AC175" s="74">
        <v>0</v>
      </c>
      <c r="AD175" s="74">
        <v>0</v>
      </c>
      <c r="AE175" s="74">
        <f>SUM(AF175:AZ175)</f>
        <v>0</v>
      </c>
      <c r="AF175" s="74">
        <v>0</v>
      </c>
      <c r="AG175" s="74">
        <v>0</v>
      </c>
      <c r="AH175" s="74">
        <v>0</v>
      </c>
      <c r="AI175" s="74">
        <v>0</v>
      </c>
      <c r="AJ175" s="74">
        <v>0</v>
      </c>
      <c r="AK175" s="74">
        <v>0</v>
      </c>
      <c r="AL175" s="74">
        <v>0</v>
      </c>
      <c r="AM175" s="74">
        <v>0</v>
      </c>
      <c r="AN175" s="74">
        <v>0</v>
      </c>
      <c r="AO175" s="74">
        <v>0</v>
      </c>
      <c r="AP175" s="74">
        <v>0</v>
      </c>
      <c r="AQ175" s="74">
        <v>0</v>
      </c>
      <c r="AR175" s="74">
        <v>0</v>
      </c>
      <c r="AS175" s="74">
        <v>0</v>
      </c>
      <c r="AT175" s="74"/>
      <c r="AU175" s="74"/>
      <c r="AV175" s="74">
        <v>0</v>
      </c>
      <c r="AW175" s="74">
        <v>0</v>
      </c>
      <c r="AX175" s="74">
        <v>0</v>
      </c>
      <c r="AY175" s="74"/>
      <c r="AZ175" s="74">
        <v>0</v>
      </c>
      <c r="BA175" s="74">
        <f>SUM(BB175+BF175+BI175+BK175+BN175)</f>
        <v>91751802</v>
      </c>
      <c r="BB175" s="74">
        <f>SUM(BC175:BE175)</f>
        <v>0</v>
      </c>
      <c r="BC175" s="74">
        <v>0</v>
      </c>
      <c r="BD175" s="74">
        <v>0</v>
      </c>
      <c r="BE175" s="74">
        <v>0</v>
      </c>
      <c r="BF175" s="74">
        <f>SUM(BH175:BH175)</f>
        <v>0</v>
      </c>
      <c r="BG175" s="74">
        <v>0</v>
      </c>
      <c r="BH175" s="74">
        <v>0</v>
      </c>
      <c r="BI175" s="74">
        <v>0</v>
      </c>
      <c r="BJ175" s="74">
        <v>0</v>
      </c>
      <c r="BK175" s="74">
        <f t="shared" si="310"/>
        <v>0</v>
      </c>
      <c r="BL175" s="74">
        <v>0</v>
      </c>
      <c r="BM175" s="74">
        <v>0</v>
      </c>
      <c r="BN175" s="74">
        <f>SUM(BO175:BY175)</f>
        <v>91751802</v>
      </c>
      <c r="BO175" s="95">
        <f>47806633-150000</f>
        <v>47656633</v>
      </c>
      <c r="BP175" s="95">
        <v>0</v>
      </c>
      <c r="BQ175" s="95">
        <v>0</v>
      </c>
      <c r="BR175" s="95">
        <v>0</v>
      </c>
      <c r="BS175" s="95">
        <v>0</v>
      </c>
      <c r="BT175" s="95">
        <v>0</v>
      </c>
      <c r="BU175" s="95">
        <v>0</v>
      </c>
      <c r="BV175" s="95">
        <v>0</v>
      </c>
      <c r="BW175" s="95">
        <v>0</v>
      </c>
      <c r="BX175" s="95">
        <f>43670661-118000</f>
        <v>43552661</v>
      </c>
      <c r="BY175" s="95">
        <v>542508</v>
      </c>
      <c r="BZ175" s="74">
        <f>SUM(CA175+CO175)</f>
        <v>0</v>
      </c>
      <c r="CA175" s="74">
        <f>SUM(CB175+CE175+CK175)</f>
        <v>0</v>
      </c>
      <c r="CB175" s="74">
        <f t="shared" si="311"/>
        <v>0</v>
      </c>
      <c r="CC175" s="74">
        <v>0</v>
      </c>
      <c r="CD175" s="74">
        <v>0</v>
      </c>
      <c r="CE175" s="74">
        <f>SUM(CF175:CJ175)</f>
        <v>0</v>
      </c>
      <c r="CF175" s="74">
        <v>0</v>
      </c>
      <c r="CG175" s="74">
        <v>0</v>
      </c>
      <c r="CH175" s="74">
        <v>0</v>
      </c>
      <c r="CI175" s="74">
        <v>0</v>
      </c>
      <c r="CJ175" s="74">
        <v>0</v>
      </c>
      <c r="CK175" s="74">
        <f>SUM(CL175:CN175)</f>
        <v>0</v>
      </c>
      <c r="CL175" s="74">
        <v>0</v>
      </c>
      <c r="CM175" s="74">
        <v>0</v>
      </c>
      <c r="CN175" s="74"/>
      <c r="CO175" s="74">
        <v>0</v>
      </c>
      <c r="CP175" s="74"/>
      <c r="CQ175" s="74"/>
      <c r="CR175" s="74"/>
      <c r="CS175" s="74">
        <f t="shared" si="313"/>
        <v>0</v>
      </c>
      <c r="CT175" s="74">
        <f t="shared" si="314"/>
        <v>0</v>
      </c>
      <c r="CU175" s="74">
        <v>0</v>
      </c>
      <c r="CV175" s="96">
        <v>0</v>
      </c>
      <c r="CW175" s="97"/>
    </row>
    <row r="176" spans="1:101" s="58" customFormat="1" ht="31.2" x14ac:dyDescent="0.3">
      <c r="A176" s="104" t="s">
        <v>252</v>
      </c>
      <c r="B176" s="16" t="s">
        <v>1</v>
      </c>
      <c r="C176" s="17" t="s">
        <v>253</v>
      </c>
      <c r="D176" s="18">
        <f>SUM(E176+BZ176+CS176)</f>
        <v>17581751</v>
      </c>
      <c r="E176" s="18">
        <f>SUM(F176+BA176)</f>
        <v>17581751</v>
      </c>
      <c r="F176" s="18">
        <f>SUM(G176+H176+I176+P176+S176+T176+U176+AE176+AD176)</f>
        <v>0</v>
      </c>
      <c r="G176" s="18">
        <v>0</v>
      </c>
      <c r="H176" s="18">
        <v>0</v>
      </c>
      <c r="I176" s="18">
        <f t="shared" si="307"/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f t="shared" si="308"/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f t="shared" si="485"/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f>SUM(AF176:AZ176)</f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/>
      <c r="AU176" s="18"/>
      <c r="AV176" s="18">
        <v>0</v>
      </c>
      <c r="AW176" s="18">
        <v>0</v>
      </c>
      <c r="AX176" s="18">
        <v>0</v>
      </c>
      <c r="AY176" s="18"/>
      <c r="AZ176" s="18">
        <v>0</v>
      </c>
      <c r="BA176" s="18">
        <f>SUM(BB176+BF176+BI176+BK176+BN176)</f>
        <v>17581751</v>
      </c>
      <c r="BB176" s="18">
        <f>SUM(BC176:BE176)</f>
        <v>0</v>
      </c>
      <c r="BC176" s="18">
        <v>0</v>
      </c>
      <c r="BD176" s="18">
        <v>0</v>
      </c>
      <c r="BE176" s="18">
        <v>0</v>
      </c>
      <c r="BF176" s="18">
        <f>SUM(BH176:BH176)</f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f t="shared" si="310"/>
        <v>0</v>
      </c>
      <c r="BL176" s="18">
        <v>0</v>
      </c>
      <c r="BM176" s="18">
        <v>0</v>
      </c>
      <c r="BN176" s="18">
        <f>SUM(BO176:BY176)</f>
        <v>17581751</v>
      </c>
      <c r="BO176" s="56">
        <v>13700606</v>
      </c>
      <c r="BP176" s="56">
        <v>0</v>
      </c>
      <c r="BQ176" s="56">
        <v>0</v>
      </c>
      <c r="BR176" s="56">
        <v>0</v>
      </c>
      <c r="BS176" s="56">
        <v>0</v>
      </c>
      <c r="BT176" s="56">
        <v>0</v>
      </c>
      <c r="BU176" s="56">
        <v>0</v>
      </c>
      <c r="BV176" s="56">
        <v>0</v>
      </c>
      <c r="BW176" s="56">
        <v>0</v>
      </c>
      <c r="BX176" s="56">
        <v>3404430</v>
      </c>
      <c r="BY176" s="56">
        <v>476715</v>
      </c>
      <c r="BZ176" s="18">
        <f>SUM(CA176+CO176)</f>
        <v>0</v>
      </c>
      <c r="CA176" s="18">
        <f>SUM(CB176+CE176+CK176)</f>
        <v>0</v>
      </c>
      <c r="CB176" s="18">
        <f t="shared" si="311"/>
        <v>0</v>
      </c>
      <c r="CC176" s="18">
        <v>0</v>
      </c>
      <c r="CD176" s="18">
        <v>0</v>
      </c>
      <c r="CE176" s="18">
        <f>SUM(CF176:CJ176)</f>
        <v>0</v>
      </c>
      <c r="CF176" s="18">
        <v>0</v>
      </c>
      <c r="CG176" s="18">
        <v>0</v>
      </c>
      <c r="CH176" s="18">
        <v>0</v>
      </c>
      <c r="CI176" s="18">
        <v>0</v>
      </c>
      <c r="CJ176" s="18">
        <v>0</v>
      </c>
      <c r="CK176" s="18">
        <f>SUM(CL176:CN176)</f>
        <v>0</v>
      </c>
      <c r="CL176" s="18">
        <v>0</v>
      </c>
      <c r="CM176" s="18">
        <v>0</v>
      </c>
      <c r="CN176" s="18"/>
      <c r="CO176" s="18">
        <v>0</v>
      </c>
      <c r="CP176" s="74"/>
      <c r="CQ176" s="74"/>
      <c r="CR176" s="74"/>
      <c r="CS176" s="18">
        <f t="shared" si="313"/>
        <v>0</v>
      </c>
      <c r="CT176" s="18">
        <f t="shared" si="314"/>
        <v>0</v>
      </c>
      <c r="CU176" s="18">
        <v>0</v>
      </c>
      <c r="CV176" s="46">
        <v>0</v>
      </c>
      <c r="CW176" s="57"/>
    </row>
    <row r="177" spans="1:101" ht="15.6" x14ac:dyDescent="0.3">
      <c r="A177" s="104" t="s">
        <v>254</v>
      </c>
      <c r="B177" s="16" t="s">
        <v>1</v>
      </c>
      <c r="C177" s="17" t="s">
        <v>255</v>
      </c>
      <c r="D177" s="18">
        <f>SUM(D178:D180)</f>
        <v>44088835</v>
      </c>
      <c r="E177" s="18">
        <f t="shared" ref="E177:BT177" si="486">SUM(E178:E180)</f>
        <v>43324135</v>
      </c>
      <c r="F177" s="18">
        <f t="shared" si="486"/>
        <v>43324135</v>
      </c>
      <c r="G177" s="18">
        <f>SUM(G178:G180)</f>
        <v>23055112</v>
      </c>
      <c r="H177" s="18">
        <f>SUM(H178:H180)</f>
        <v>5295124</v>
      </c>
      <c r="I177" s="18">
        <f t="shared" si="486"/>
        <v>11817327</v>
      </c>
      <c r="J177" s="18">
        <f t="shared" si="486"/>
        <v>1189331</v>
      </c>
      <c r="K177" s="18">
        <f t="shared" si="486"/>
        <v>555329</v>
      </c>
      <c r="L177" s="18">
        <f t="shared" si="486"/>
        <v>9029838</v>
      </c>
      <c r="M177" s="18">
        <f t="shared" si="486"/>
        <v>0</v>
      </c>
      <c r="N177" s="18">
        <f t="shared" si="486"/>
        <v>870711</v>
      </c>
      <c r="O177" s="18">
        <f t="shared" si="486"/>
        <v>172118</v>
      </c>
      <c r="P177" s="18">
        <f t="shared" si="486"/>
        <v>0</v>
      </c>
      <c r="Q177" s="18">
        <f t="shared" si="486"/>
        <v>0</v>
      </c>
      <c r="R177" s="18">
        <f t="shared" si="486"/>
        <v>0</v>
      </c>
      <c r="S177" s="18">
        <f t="shared" si="486"/>
        <v>0</v>
      </c>
      <c r="T177" s="18">
        <f t="shared" si="486"/>
        <v>105060</v>
      </c>
      <c r="U177" s="18">
        <f t="shared" si="486"/>
        <v>2501267</v>
      </c>
      <c r="V177" s="18">
        <f t="shared" si="486"/>
        <v>115512</v>
      </c>
      <c r="W177" s="18">
        <f t="shared" si="486"/>
        <v>982111</v>
      </c>
      <c r="X177" s="18">
        <f t="shared" si="486"/>
        <v>425407</v>
      </c>
      <c r="Y177" s="18">
        <f t="shared" si="486"/>
        <v>863940</v>
      </c>
      <c r="Z177" s="18">
        <f t="shared" si="486"/>
        <v>83507</v>
      </c>
      <c r="AA177" s="18">
        <f t="shared" si="486"/>
        <v>0</v>
      </c>
      <c r="AB177" s="18">
        <f t="shared" si="486"/>
        <v>0</v>
      </c>
      <c r="AC177" s="18">
        <f t="shared" si="486"/>
        <v>30790</v>
      </c>
      <c r="AD177" s="18">
        <f t="shared" si="486"/>
        <v>0</v>
      </c>
      <c r="AE177" s="18">
        <f t="shared" si="486"/>
        <v>550245</v>
      </c>
      <c r="AF177" s="18">
        <f t="shared" si="486"/>
        <v>0</v>
      </c>
      <c r="AG177" s="18">
        <f t="shared" si="486"/>
        <v>0</v>
      </c>
      <c r="AH177" s="18">
        <f t="shared" si="486"/>
        <v>1500</v>
      </c>
      <c r="AI177" s="18">
        <f t="shared" si="486"/>
        <v>79207</v>
      </c>
      <c r="AJ177" s="18">
        <f t="shared" si="486"/>
        <v>0</v>
      </c>
      <c r="AK177" s="18">
        <f t="shared" si="486"/>
        <v>7431</v>
      </c>
      <c r="AL177" s="18">
        <f t="shared" si="486"/>
        <v>0</v>
      </c>
      <c r="AM177" s="18">
        <f t="shared" si="486"/>
        <v>1955</v>
      </c>
      <c r="AN177" s="18">
        <f t="shared" si="486"/>
        <v>0</v>
      </c>
      <c r="AO177" s="18">
        <f t="shared" si="486"/>
        <v>0</v>
      </c>
      <c r="AP177" s="18">
        <f t="shared" si="486"/>
        <v>0</v>
      </c>
      <c r="AQ177" s="18">
        <f t="shared" si="486"/>
        <v>0</v>
      </c>
      <c r="AR177" s="18">
        <f t="shared" si="486"/>
        <v>264637</v>
      </c>
      <c r="AS177" s="18">
        <f t="shared" si="486"/>
        <v>86699</v>
      </c>
      <c r="AT177" s="18"/>
      <c r="AU177" s="18"/>
      <c r="AV177" s="18">
        <f t="shared" si="486"/>
        <v>6304</v>
      </c>
      <c r="AW177" s="18">
        <f t="shared" si="486"/>
        <v>0</v>
      </c>
      <c r="AX177" s="18">
        <f t="shared" si="486"/>
        <v>0</v>
      </c>
      <c r="AY177" s="18"/>
      <c r="AZ177" s="18">
        <f t="shared" si="486"/>
        <v>102512</v>
      </c>
      <c r="BA177" s="18">
        <f t="shared" si="486"/>
        <v>0</v>
      </c>
      <c r="BB177" s="18">
        <f t="shared" si="486"/>
        <v>0</v>
      </c>
      <c r="BC177" s="18">
        <f t="shared" si="486"/>
        <v>0</v>
      </c>
      <c r="BD177" s="18">
        <f t="shared" si="486"/>
        <v>0</v>
      </c>
      <c r="BE177" s="18">
        <f t="shared" si="486"/>
        <v>0</v>
      </c>
      <c r="BF177" s="18">
        <f t="shared" si="486"/>
        <v>0</v>
      </c>
      <c r="BG177" s="18">
        <f t="shared" si="486"/>
        <v>0</v>
      </c>
      <c r="BH177" s="18">
        <f t="shared" si="486"/>
        <v>0</v>
      </c>
      <c r="BI177" s="18">
        <f t="shared" si="486"/>
        <v>0</v>
      </c>
      <c r="BJ177" s="18">
        <f t="shared" ref="BJ177" si="487">SUM(BJ178:BJ180)</f>
        <v>0</v>
      </c>
      <c r="BK177" s="18">
        <f t="shared" si="486"/>
        <v>0</v>
      </c>
      <c r="BL177" s="18">
        <f t="shared" si="486"/>
        <v>0</v>
      </c>
      <c r="BM177" s="18">
        <f t="shared" ref="BM177" si="488">SUM(BM178:BM180)</f>
        <v>0</v>
      </c>
      <c r="BN177" s="18">
        <f t="shared" si="486"/>
        <v>0</v>
      </c>
      <c r="BO177" s="18">
        <f t="shared" si="486"/>
        <v>0</v>
      </c>
      <c r="BP177" s="18">
        <f t="shared" si="486"/>
        <v>0</v>
      </c>
      <c r="BQ177" s="18">
        <f t="shared" si="486"/>
        <v>0</v>
      </c>
      <c r="BR177" s="18">
        <f t="shared" si="486"/>
        <v>0</v>
      </c>
      <c r="BS177" s="18">
        <f t="shared" si="486"/>
        <v>0</v>
      </c>
      <c r="BT177" s="18">
        <f t="shared" si="486"/>
        <v>0</v>
      </c>
      <c r="BU177" s="18">
        <f t="shared" ref="BU177:CV177" si="489">SUM(BU178:BU180)</f>
        <v>0</v>
      </c>
      <c r="BV177" s="18">
        <f t="shared" si="489"/>
        <v>0</v>
      </c>
      <c r="BW177" s="18">
        <f t="shared" si="489"/>
        <v>0</v>
      </c>
      <c r="BX177" s="18">
        <f t="shared" si="489"/>
        <v>0</v>
      </c>
      <c r="BY177" s="18">
        <f t="shared" si="489"/>
        <v>0</v>
      </c>
      <c r="BZ177" s="18">
        <f t="shared" si="489"/>
        <v>764700</v>
      </c>
      <c r="CA177" s="18">
        <f t="shared" si="489"/>
        <v>764700</v>
      </c>
      <c r="CB177" s="18">
        <f t="shared" si="489"/>
        <v>764700</v>
      </c>
      <c r="CC177" s="18">
        <f t="shared" si="489"/>
        <v>0</v>
      </c>
      <c r="CD177" s="18">
        <f t="shared" si="489"/>
        <v>764700</v>
      </c>
      <c r="CE177" s="18">
        <f t="shared" si="489"/>
        <v>0</v>
      </c>
      <c r="CF177" s="18">
        <f t="shared" si="489"/>
        <v>0</v>
      </c>
      <c r="CG177" s="18">
        <f t="shared" ref="CG177:CH177" si="490">SUM(CG178:CG180)</f>
        <v>0</v>
      </c>
      <c r="CH177" s="18">
        <f t="shared" si="490"/>
        <v>0</v>
      </c>
      <c r="CI177" s="18">
        <f t="shared" si="489"/>
        <v>0</v>
      </c>
      <c r="CJ177" s="18">
        <f t="shared" ref="CJ177" si="491">SUM(CJ178:CJ180)</f>
        <v>0</v>
      </c>
      <c r="CK177" s="18">
        <f t="shared" si="489"/>
        <v>0</v>
      </c>
      <c r="CL177" s="18">
        <f t="shared" ref="CL177" si="492">SUM(CL178:CL180)</f>
        <v>0</v>
      </c>
      <c r="CM177" s="18">
        <f t="shared" si="489"/>
        <v>0</v>
      </c>
      <c r="CN177" s="18"/>
      <c r="CO177" s="18">
        <f t="shared" si="489"/>
        <v>0</v>
      </c>
      <c r="CP177" s="74"/>
      <c r="CQ177" s="74"/>
      <c r="CR177" s="74"/>
      <c r="CS177" s="18">
        <f t="shared" si="489"/>
        <v>0</v>
      </c>
      <c r="CT177" s="18">
        <f t="shared" si="489"/>
        <v>0</v>
      </c>
      <c r="CU177" s="18">
        <f t="shared" si="489"/>
        <v>0</v>
      </c>
      <c r="CV177" s="46">
        <f t="shared" si="489"/>
        <v>0</v>
      </c>
      <c r="CW177" s="57"/>
    </row>
    <row r="178" spans="1:101" s="79" customFormat="1" ht="15.6" x14ac:dyDescent="0.3">
      <c r="A178" s="105" t="s">
        <v>1</v>
      </c>
      <c r="B178" s="21" t="s">
        <v>56</v>
      </c>
      <c r="C178" s="22" t="s">
        <v>256</v>
      </c>
      <c r="D178" s="19">
        <f>SUM(E178+BZ178+CS178)</f>
        <v>7685096</v>
      </c>
      <c r="E178" s="19">
        <f>SUM(F178+BA178)</f>
        <v>7632166</v>
      </c>
      <c r="F178" s="19">
        <f>SUM(G178+H178+I178+P178+S178+T178+U178+AE178+AD178)</f>
        <v>7632166</v>
      </c>
      <c r="G178" s="23">
        <v>4307031</v>
      </c>
      <c r="H178" s="23">
        <v>1010042</v>
      </c>
      <c r="I178" s="19">
        <f t="shared" si="307"/>
        <v>2032661</v>
      </c>
      <c r="J178" s="23">
        <v>267480</v>
      </c>
      <c r="K178" s="23">
        <v>30348</v>
      </c>
      <c r="L178" s="23">
        <v>1489245</v>
      </c>
      <c r="M178" s="23">
        <v>0</v>
      </c>
      <c r="N178" s="23">
        <v>182274</v>
      </c>
      <c r="O178" s="23">
        <v>63314</v>
      </c>
      <c r="P178" s="19">
        <f t="shared" si="308"/>
        <v>0</v>
      </c>
      <c r="Q178" s="19">
        <v>0</v>
      </c>
      <c r="R178" s="19">
        <v>0</v>
      </c>
      <c r="S178" s="19">
        <v>0</v>
      </c>
      <c r="T178" s="23">
        <v>19273</v>
      </c>
      <c r="U178" s="19">
        <f t="shared" ref="U178:U180" si="493">SUM(V178:AC178)</f>
        <v>205424</v>
      </c>
      <c r="V178" s="23">
        <v>47633</v>
      </c>
      <c r="W178" s="23">
        <v>35023</v>
      </c>
      <c r="X178" s="23">
        <v>50140</v>
      </c>
      <c r="Y178" s="23">
        <v>40289</v>
      </c>
      <c r="Z178" s="23">
        <v>19570</v>
      </c>
      <c r="AA178" s="23">
        <v>0</v>
      </c>
      <c r="AB178" s="23">
        <v>0</v>
      </c>
      <c r="AC178" s="23">
        <v>12769</v>
      </c>
      <c r="AD178" s="23">
        <v>0</v>
      </c>
      <c r="AE178" s="19">
        <f>SUM(AF178:AZ178)</f>
        <v>57735</v>
      </c>
      <c r="AF178" s="19">
        <v>0</v>
      </c>
      <c r="AG178" s="19">
        <v>0</v>
      </c>
      <c r="AH178" s="19">
        <v>0</v>
      </c>
      <c r="AI178" s="23">
        <v>4130</v>
      </c>
      <c r="AJ178" s="23">
        <v>0</v>
      </c>
      <c r="AK178" s="23">
        <v>0</v>
      </c>
      <c r="AL178" s="23">
        <v>0</v>
      </c>
      <c r="AM178" s="23">
        <v>101</v>
      </c>
      <c r="AN178" s="23">
        <v>0</v>
      </c>
      <c r="AO178" s="23">
        <v>0</v>
      </c>
      <c r="AP178" s="23">
        <v>0</v>
      </c>
      <c r="AQ178" s="23">
        <v>0</v>
      </c>
      <c r="AR178" s="23">
        <v>41504</v>
      </c>
      <c r="AS178" s="23">
        <v>12000</v>
      </c>
      <c r="AT178" s="23">
        <v>0</v>
      </c>
      <c r="AU178" s="23">
        <v>0</v>
      </c>
      <c r="AV178" s="23">
        <v>0</v>
      </c>
      <c r="AW178" s="23">
        <v>0</v>
      </c>
      <c r="AX178" s="23">
        <v>0</v>
      </c>
      <c r="AY178" s="23">
        <v>0</v>
      </c>
      <c r="AZ178" s="23">
        <v>0</v>
      </c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10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SUM(CA178+CO178)</f>
        <v>52930</v>
      </c>
      <c r="CA178" s="19">
        <f>SUM(CB178+CE178+CK178)</f>
        <v>52930</v>
      </c>
      <c r="CB178" s="19">
        <f t="shared" si="311"/>
        <v>52930</v>
      </c>
      <c r="CC178" s="19">
        <v>0</v>
      </c>
      <c r="CD178" s="23">
        <v>52930</v>
      </c>
      <c r="CE178" s="19">
        <f t="shared" ref="CE178:CE180" si="494"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SUM(CL178:CN178)</f>
        <v>0</v>
      </c>
      <c r="CL178" s="19">
        <v>0</v>
      </c>
      <c r="CM178" s="19">
        <v>0</v>
      </c>
      <c r="CN178" s="19"/>
      <c r="CO178" s="19">
        <v>0</v>
      </c>
      <c r="CP178" s="75"/>
      <c r="CQ178" s="75"/>
      <c r="CR178" s="75"/>
      <c r="CS178" s="19">
        <f t="shared" si="313"/>
        <v>0</v>
      </c>
      <c r="CT178" s="19">
        <f t="shared" si="314"/>
        <v>0</v>
      </c>
      <c r="CU178" s="19">
        <v>0</v>
      </c>
      <c r="CV178" s="20">
        <v>0</v>
      </c>
      <c r="CW178" s="52"/>
    </row>
    <row r="179" spans="1:101" ht="23.4" customHeight="1" x14ac:dyDescent="0.3">
      <c r="A179" s="107" t="s">
        <v>1</v>
      </c>
      <c r="B179" s="72" t="s">
        <v>56</v>
      </c>
      <c r="C179" s="73" t="s">
        <v>257</v>
      </c>
      <c r="D179" s="75">
        <f>SUM(E179+BZ179+CS179)</f>
        <v>35186172</v>
      </c>
      <c r="E179" s="75">
        <f>SUM(F179+BA179)</f>
        <v>34474402</v>
      </c>
      <c r="F179" s="75">
        <f>SUM(G179+H179+I179+P179+S179+T179+U179+AE179+AD179)</f>
        <v>34474402</v>
      </c>
      <c r="G179" s="76">
        <v>17807341</v>
      </c>
      <c r="H179" s="76">
        <v>4063122</v>
      </c>
      <c r="I179" s="75">
        <f t="shared" si="307"/>
        <v>9744481</v>
      </c>
      <c r="J179" s="76">
        <v>921851</v>
      </c>
      <c r="K179" s="76">
        <v>524981</v>
      </c>
      <c r="L179" s="76">
        <f>7635628-95035</f>
        <v>7540593</v>
      </c>
      <c r="M179" s="76">
        <v>0</v>
      </c>
      <c r="N179" s="76">
        <v>653252</v>
      </c>
      <c r="O179" s="76">
        <v>103804</v>
      </c>
      <c r="P179" s="75">
        <f t="shared" si="308"/>
        <v>0</v>
      </c>
      <c r="Q179" s="75">
        <v>0</v>
      </c>
      <c r="R179" s="75">
        <v>0</v>
      </c>
      <c r="S179" s="75">
        <v>0</v>
      </c>
      <c r="T179" s="76">
        <v>76871</v>
      </c>
      <c r="U179" s="75">
        <f t="shared" si="493"/>
        <v>2290077</v>
      </c>
      <c r="V179" s="76">
        <v>65323</v>
      </c>
      <c r="W179" s="76">
        <v>944952</v>
      </c>
      <c r="X179" s="76">
        <v>374508</v>
      </c>
      <c r="Y179" s="76">
        <v>823336</v>
      </c>
      <c r="Z179" s="76">
        <v>63937</v>
      </c>
      <c r="AA179" s="76">
        <v>0</v>
      </c>
      <c r="AB179" s="76">
        <v>0</v>
      </c>
      <c r="AC179" s="76">
        <v>18021</v>
      </c>
      <c r="AD179" s="76">
        <v>0</v>
      </c>
      <c r="AE179" s="75">
        <f>SUM(AF179:AZ179)</f>
        <v>492510</v>
      </c>
      <c r="AF179" s="75">
        <v>0</v>
      </c>
      <c r="AG179" s="75">
        <v>0</v>
      </c>
      <c r="AH179" s="75">
        <v>1500</v>
      </c>
      <c r="AI179" s="76">
        <v>75077</v>
      </c>
      <c r="AJ179" s="76">
        <v>0</v>
      </c>
      <c r="AK179" s="76">
        <v>7431</v>
      </c>
      <c r="AL179" s="76">
        <v>0</v>
      </c>
      <c r="AM179" s="76">
        <v>1854</v>
      </c>
      <c r="AN179" s="76">
        <v>0</v>
      </c>
      <c r="AO179" s="76">
        <v>0</v>
      </c>
      <c r="AP179" s="76">
        <v>0</v>
      </c>
      <c r="AQ179" s="76">
        <v>0</v>
      </c>
      <c r="AR179" s="76">
        <v>223133</v>
      </c>
      <c r="AS179" s="76">
        <v>74699</v>
      </c>
      <c r="AT179" s="76">
        <v>0</v>
      </c>
      <c r="AU179" s="76">
        <v>0</v>
      </c>
      <c r="AV179" s="76">
        <v>6304</v>
      </c>
      <c r="AW179" s="76">
        <v>0</v>
      </c>
      <c r="AX179" s="76">
        <v>0</v>
      </c>
      <c r="AY179" s="76">
        <v>0</v>
      </c>
      <c r="AZ179" s="76">
        <f>7477+95035</f>
        <v>102512</v>
      </c>
      <c r="BA179" s="75">
        <f>SUM(BB179+BF179+BI179+BK179+BN179)</f>
        <v>0</v>
      </c>
      <c r="BB179" s="75">
        <f>SUM(BC179:BE179)</f>
        <v>0</v>
      </c>
      <c r="BC179" s="75">
        <v>0</v>
      </c>
      <c r="BD179" s="75">
        <v>0</v>
      </c>
      <c r="BE179" s="75">
        <v>0</v>
      </c>
      <c r="BF179" s="75">
        <f>SUM(BH179:BH179)</f>
        <v>0</v>
      </c>
      <c r="BG179" s="75">
        <v>0</v>
      </c>
      <c r="BH179" s="75">
        <v>0</v>
      </c>
      <c r="BI179" s="75">
        <v>0</v>
      </c>
      <c r="BJ179" s="75">
        <v>0</v>
      </c>
      <c r="BK179" s="75">
        <f t="shared" si="310"/>
        <v>0</v>
      </c>
      <c r="BL179" s="75">
        <v>0</v>
      </c>
      <c r="BM179" s="75">
        <v>0</v>
      </c>
      <c r="BN179" s="75">
        <f>SUM(BO179:BY179)</f>
        <v>0</v>
      </c>
      <c r="BO179" s="75">
        <v>0</v>
      </c>
      <c r="BP179" s="75">
        <v>0</v>
      </c>
      <c r="BQ179" s="75">
        <v>0</v>
      </c>
      <c r="BR179" s="75">
        <v>0</v>
      </c>
      <c r="BS179" s="75">
        <v>0</v>
      </c>
      <c r="BT179" s="75">
        <v>0</v>
      </c>
      <c r="BU179" s="75">
        <v>0</v>
      </c>
      <c r="BV179" s="75">
        <v>0</v>
      </c>
      <c r="BW179" s="75">
        <v>0</v>
      </c>
      <c r="BX179" s="75">
        <v>0</v>
      </c>
      <c r="BY179" s="75">
        <v>0</v>
      </c>
      <c r="BZ179" s="75">
        <f>SUM(CA179+CO179)</f>
        <v>711770</v>
      </c>
      <c r="CA179" s="75">
        <f>SUM(CB179+CE179+CK179)</f>
        <v>711770</v>
      </c>
      <c r="CB179" s="75">
        <f t="shared" si="311"/>
        <v>711770</v>
      </c>
      <c r="CC179" s="75">
        <v>0</v>
      </c>
      <c r="CD179" s="76">
        <v>711770</v>
      </c>
      <c r="CE179" s="75">
        <f t="shared" si="494"/>
        <v>0</v>
      </c>
      <c r="CF179" s="75">
        <v>0</v>
      </c>
      <c r="CG179" s="75">
        <v>0</v>
      </c>
      <c r="CH179" s="75">
        <v>0</v>
      </c>
      <c r="CI179" s="75">
        <v>0</v>
      </c>
      <c r="CJ179" s="75">
        <v>0</v>
      </c>
      <c r="CK179" s="75">
        <f>SUM(CL179:CN179)</f>
        <v>0</v>
      </c>
      <c r="CL179" s="75">
        <v>0</v>
      </c>
      <c r="CM179" s="75">
        <v>0</v>
      </c>
      <c r="CN179" s="75"/>
      <c r="CO179" s="75">
        <v>0</v>
      </c>
      <c r="CP179" s="75"/>
      <c r="CQ179" s="75"/>
      <c r="CR179" s="75"/>
      <c r="CS179" s="75">
        <f t="shared" si="313"/>
        <v>0</v>
      </c>
      <c r="CT179" s="75">
        <f t="shared" si="314"/>
        <v>0</v>
      </c>
      <c r="CU179" s="75">
        <v>0</v>
      </c>
      <c r="CV179" s="78">
        <v>0</v>
      </c>
      <c r="CW179" s="79"/>
    </row>
    <row r="180" spans="1:101" s="58" customFormat="1" ht="31.2" x14ac:dyDescent="0.3">
      <c r="A180" s="105" t="s">
        <v>1</v>
      </c>
      <c r="B180" s="21" t="s">
        <v>56</v>
      </c>
      <c r="C180" s="22" t="s">
        <v>258</v>
      </c>
      <c r="D180" s="19">
        <f>SUM(E180+BZ180+CS180)</f>
        <v>1217567</v>
      </c>
      <c r="E180" s="19">
        <f>SUM(F180+BA180)</f>
        <v>1217567</v>
      </c>
      <c r="F180" s="19">
        <f>SUM(G180+H180+I180+P180+S180+T180+U180+AE180+AD180)</f>
        <v>1217567</v>
      </c>
      <c r="G180" s="23">
        <v>940740</v>
      </c>
      <c r="H180" s="23">
        <v>221960</v>
      </c>
      <c r="I180" s="19">
        <f t="shared" si="307"/>
        <v>40185</v>
      </c>
      <c r="J180" s="23">
        <v>0</v>
      </c>
      <c r="K180" s="23">
        <v>0</v>
      </c>
      <c r="L180" s="23">
        <v>0</v>
      </c>
      <c r="M180" s="23">
        <v>0</v>
      </c>
      <c r="N180" s="23">
        <v>35185</v>
      </c>
      <c r="O180" s="23">
        <v>5000</v>
      </c>
      <c r="P180" s="19">
        <f t="shared" si="308"/>
        <v>0</v>
      </c>
      <c r="Q180" s="19">
        <v>0</v>
      </c>
      <c r="R180" s="19">
        <v>0</v>
      </c>
      <c r="S180" s="19">
        <v>0</v>
      </c>
      <c r="T180" s="23">
        <v>8916</v>
      </c>
      <c r="U180" s="19">
        <f t="shared" si="493"/>
        <v>5766</v>
      </c>
      <c r="V180" s="23">
        <v>2556</v>
      </c>
      <c r="W180" s="23">
        <v>2136</v>
      </c>
      <c r="X180" s="23">
        <v>759</v>
      </c>
      <c r="Y180" s="23">
        <v>315</v>
      </c>
      <c r="Z180" s="23">
        <v>0</v>
      </c>
      <c r="AA180" s="23">
        <v>0</v>
      </c>
      <c r="AB180" s="23">
        <v>0</v>
      </c>
      <c r="AC180" s="23">
        <v>0</v>
      </c>
      <c r="AD180" s="23">
        <v>0</v>
      </c>
      <c r="AE180" s="19">
        <f>SUM(AF180:AZ180)</f>
        <v>0</v>
      </c>
      <c r="AF180" s="19">
        <v>0</v>
      </c>
      <c r="AG180" s="19">
        <v>0</v>
      </c>
      <c r="AH180" s="19">
        <v>0</v>
      </c>
      <c r="AI180" s="23">
        <v>0</v>
      </c>
      <c r="AJ180" s="23">
        <v>0</v>
      </c>
      <c r="AK180" s="23">
        <v>0</v>
      </c>
      <c r="AL180" s="23">
        <v>0</v>
      </c>
      <c r="AM180" s="23">
        <v>0</v>
      </c>
      <c r="AN180" s="23">
        <v>0</v>
      </c>
      <c r="AO180" s="23">
        <v>0</v>
      </c>
      <c r="AP180" s="23">
        <v>0</v>
      </c>
      <c r="AQ180" s="23">
        <v>0</v>
      </c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/>
      <c r="BA180" s="19">
        <f>SUM(BB180+BF180+BI180+BK180+BN180)</f>
        <v>0</v>
      </c>
      <c r="BB180" s="19">
        <f>SUM(BC180:BE180)</f>
        <v>0</v>
      </c>
      <c r="BC180" s="19">
        <v>0</v>
      </c>
      <c r="BD180" s="19">
        <v>0</v>
      </c>
      <c r="BE180" s="19">
        <v>0</v>
      </c>
      <c r="BF180" s="19">
        <f>SUM(BH180:BH180)</f>
        <v>0</v>
      </c>
      <c r="BG180" s="19">
        <v>0</v>
      </c>
      <c r="BH180" s="19">
        <v>0</v>
      </c>
      <c r="BI180" s="19">
        <v>0</v>
      </c>
      <c r="BJ180" s="19">
        <v>0</v>
      </c>
      <c r="BK180" s="19">
        <f t="shared" si="310"/>
        <v>0</v>
      </c>
      <c r="BL180" s="19">
        <v>0</v>
      </c>
      <c r="BM180" s="19">
        <v>0</v>
      </c>
      <c r="BN180" s="19">
        <f>SUM(BO180:BY180)</f>
        <v>0</v>
      </c>
      <c r="BO180" s="19"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f>SUM(CA180+CO180)</f>
        <v>0</v>
      </c>
      <c r="CA180" s="19">
        <f>SUM(CB180+CE180+CK180)</f>
        <v>0</v>
      </c>
      <c r="CB180" s="19">
        <f t="shared" si="311"/>
        <v>0</v>
      </c>
      <c r="CC180" s="19">
        <v>0</v>
      </c>
      <c r="CD180" s="23"/>
      <c r="CE180" s="19">
        <f t="shared" si="494"/>
        <v>0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f>SUM(CL180:CN180)</f>
        <v>0</v>
      </c>
      <c r="CL180" s="19">
        <v>0</v>
      </c>
      <c r="CM180" s="19">
        <v>0</v>
      </c>
      <c r="CN180" s="19"/>
      <c r="CO180" s="19">
        <v>0</v>
      </c>
      <c r="CP180" s="75"/>
      <c r="CQ180" s="75"/>
      <c r="CR180" s="75"/>
      <c r="CS180" s="19">
        <f t="shared" si="313"/>
        <v>0</v>
      </c>
      <c r="CT180" s="19">
        <f t="shared" si="314"/>
        <v>0</v>
      </c>
      <c r="CU180" s="19">
        <v>0</v>
      </c>
      <c r="CV180" s="20">
        <v>0</v>
      </c>
      <c r="CW180" s="52"/>
    </row>
    <row r="181" spans="1:101" ht="31.2" x14ac:dyDescent="0.3">
      <c r="A181" s="104" t="s">
        <v>259</v>
      </c>
      <c r="B181" s="16" t="s">
        <v>1</v>
      </c>
      <c r="C181" s="17" t="s">
        <v>13</v>
      </c>
      <c r="D181" s="18">
        <f>SUM(D182)</f>
        <v>234650718</v>
      </c>
      <c r="E181" s="18">
        <f t="shared" ref="E181:BT181" si="495">SUM(E182)</f>
        <v>234650718</v>
      </c>
      <c r="F181" s="18">
        <f t="shared" si="495"/>
        <v>0</v>
      </c>
      <c r="G181" s="18">
        <f t="shared" si="495"/>
        <v>0</v>
      </c>
      <c r="H181" s="18">
        <f t="shared" si="495"/>
        <v>0</v>
      </c>
      <c r="I181" s="18">
        <f t="shared" si="495"/>
        <v>0</v>
      </c>
      <c r="J181" s="18">
        <f t="shared" si="495"/>
        <v>0</v>
      </c>
      <c r="K181" s="18">
        <f t="shared" si="495"/>
        <v>0</v>
      </c>
      <c r="L181" s="18">
        <f t="shared" si="495"/>
        <v>0</v>
      </c>
      <c r="M181" s="18">
        <f t="shared" si="495"/>
        <v>0</v>
      </c>
      <c r="N181" s="18">
        <f t="shared" si="495"/>
        <v>0</v>
      </c>
      <c r="O181" s="18">
        <f t="shared" si="495"/>
        <v>0</v>
      </c>
      <c r="P181" s="18">
        <f t="shared" si="495"/>
        <v>0</v>
      </c>
      <c r="Q181" s="18">
        <f t="shared" si="495"/>
        <v>0</v>
      </c>
      <c r="R181" s="18">
        <f t="shared" si="495"/>
        <v>0</v>
      </c>
      <c r="S181" s="18">
        <f t="shared" si="495"/>
        <v>0</v>
      </c>
      <c r="T181" s="18">
        <f t="shared" si="495"/>
        <v>0</v>
      </c>
      <c r="U181" s="18">
        <f t="shared" si="495"/>
        <v>0</v>
      </c>
      <c r="V181" s="18">
        <f t="shared" si="495"/>
        <v>0</v>
      </c>
      <c r="W181" s="18">
        <f t="shared" si="495"/>
        <v>0</v>
      </c>
      <c r="X181" s="18">
        <f t="shared" si="495"/>
        <v>0</v>
      </c>
      <c r="Y181" s="18">
        <f t="shared" si="495"/>
        <v>0</v>
      </c>
      <c r="Z181" s="18">
        <f t="shared" si="495"/>
        <v>0</v>
      </c>
      <c r="AA181" s="18">
        <f t="shared" si="495"/>
        <v>0</v>
      </c>
      <c r="AB181" s="18">
        <f t="shared" si="495"/>
        <v>0</v>
      </c>
      <c r="AC181" s="18">
        <f t="shared" si="495"/>
        <v>0</v>
      </c>
      <c r="AD181" s="18">
        <f t="shared" si="495"/>
        <v>0</v>
      </c>
      <c r="AE181" s="18">
        <f t="shared" si="495"/>
        <v>0</v>
      </c>
      <c r="AF181" s="18">
        <f t="shared" si="495"/>
        <v>0</v>
      </c>
      <c r="AG181" s="18">
        <f t="shared" si="495"/>
        <v>0</v>
      </c>
      <c r="AH181" s="18">
        <f t="shared" si="495"/>
        <v>0</v>
      </c>
      <c r="AI181" s="18">
        <f t="shared" si="495"/>
        <v>0</v>
      </c>
      <c r="AJ181" s="18">
        <f t="shared" si="495"/>
        <v>0</v>
      </c>
      <c r="AK181" s="18">
        <f t="shared" si="495"/>
        <v>0</v>
      </c>
      <c r="AL181" s="18">
        <f t="shared" si="495"/>
        <v>0</v>
      </c>
      <c r="AM181" s="18">
        <f t="shared" si="495"/>
        <v>0</v>
      </c>
      <c r="AN181" s="18">
        <f t="shared" si="495"/>
        <v>0</v>
      </c>
      <c r="AO181" s="18">
        <f t="shared" si="495"/>
        <v>0</v>
      </c>
      <c r="AP181" s="18">
        <f t="shared" si="495"/>
        <v>0</v>
      </c>
      <c r="AQ181" s="18">
        <f t="shared" si="495"/>
        <v>0</v>
      </c>
      <c r="AR181" s="18">
        <f t="shared" si="495"/>
        <v>0</v>
      </c>
      <c r="AS181" s="18">
        <f t="shared" si="495"/>
        <v>0</v>
      </c>
      <c r="AT181" s="18"/>
      <c r="AU181" s="18"/>
      <c r="AV181" s="18">
        <f t="shared" si="495"/>
        <v>0</v>
      </c>
      <c r="AW181" s="18">
        <f t="shared" si="495"/>
        <v>0</v>
      </c>
      <c r="AX181" s="18">
        <f t="shared" si="495"/>
        <v>0</v>
      </c>
      <c r="AY181" s="18"/>
      <c r="AZ181" s="18">
        <f t="shared" si="495"/>
        <v>0</v>
      </c>
      <c r="BA181" s="18">
        <f t="shared" si="495"/>
        <v>234650718</v>
      </c>
      <c r="BB181" s="18">
        <f t="shared" si="495"/>
        <v>0</v>
      </c>
      <c r="BC181" s="18">
        <f t="shared" si="495"/>
        <v>0</v>
      </c>
      <c r="BD181" s="18">
        <f t="shared" si="495"/>
        <v>0</v>
      </c>
      <c r="BE181" s="18">
        <f t="shared" si="495"/>
        <v>0</v>
      </c>
      <c r="BF181" s="18">
        <f t="shared" si="495"/>
        <v>0</v>
      </c>
      <c r="BG181" s="18">
        <f t="shared" si="495"/>
        <v>0</v>
      </c>
      <c r="BH181" s="18">
        <f t="shared" si="495"/>
        <v>0</v>
      </c>
      <c r="BI181" s="18">
        <f t="shared" si="495"/>
        <v>0</v>
      </c>
      <c r="BJ181" s="18">
        <f t="shared" si="495"/>
        <v>0</v>
      </c>
      <c r="BK181" s="18">
        <f t="shared" si="495"/>
        <v>0</v>
      </c>
      <c r="BL181" s="18">
        <f t="shared" si="495"/>
        <v>0</v>
      </c>
      <c r="BM181" s="18">
        <f t="shared" si="495"/>
        <v>0</v>
      </c>
      <c r="BN181" s="18">
        <f t="shared" si="495"/>
        <v>234650718</v>
      </c>
      <c r="BO181" s="18">
        <f t="shared" si="495"/>
        <v>0</v>
      </c>
      <c r="BP181" s="18">
        <f t="shared" si="495"/>
        <v>0</v>
      </c>
      <c r="BQ181" s="18">
        <f t="shared" si="495"/>
        <v>0</v>
      </c>
      <c r="BR181" s="18">
        <f t="shared" si="495"/>
        <v>0</v>
      </c>
      <c r="BS181" s="18">
        <f t="shared" si="495"/>
        <v>0</v>
      </c>
      <c r="BT181" s="18">
        <f t="shared" si="495"/>
        <v>0</v>
      </c>
      <c r="BU181" s="18">
        <f t="shared" ref="BU181:CV181" si="496">SUM(BU182)</f>
        <v>179412887</v>
      </c>
      <c r="BV181" s="18">
        <f t="shared" si="496"/>
        <v>0</v>
      </c>
      <c r="BW181" s="18">
        <f t="shared" si="496"/>
        <v>0</v>
      </c>
      <c r="BX181" s="18">
        <f t="shared" si="496"/>
        <v>55237831</v>
      </c>
      <c r="BY181" s="18">
        <f t="shared" si="496"/>
        <v>0</v>
      </c>
      <c r="BZ181" s="18">
        <f t="shared" si="496"/>
        <v>0</v>
      </c>
      <c r="CA181" s="18">
        <f t="shared" si="496"/>
        <v>0</v>
      </c>
      <c r="CB181" s="18">
        <f t="shared" si="496"/>
        <v>0</v>
      </c>
      <c r="CC181" s="18">
        <f t="shared" si="496"/>
        <v>0</v>
      </c>
      <c r="CD181" s="18">
        <f t="shared" si="496"/>
        <v>0</v>
      </c>
      <c r="CE181" s="18">
        <f t="shared" si="496"/>
        <v>0</v>
      </c>
      <c r="CF181" s="18">
        <f t="shared" si="496"/>
        <v>0</v>
      </c>
      <c r="CG181" s="18">
        <f t="shared" si="496"/>
        <v>0</v>
      </c>
      <c r="CH181" s="18">
        <f t="shared" si="496"/>
        <v>0</v>
      </c>
      <c r="CI181" s="18">
        <f t="shared" si="496"/>
        <v>0</v>
      </c>
      <c r="CJ181" s="18">
        <f t="shared" si="496"/>
        <v>0</v>
      </c>
      <c r="CK181" s="18">
        <f t="shared" si="496"/>
        <v>0</v>
      </c>
      <c r="CL181" s="18">
        <f t="shared" si="496"/>
        <v>0</v>
      </c>
      <c r="CM181" s="18">
        <f t="shared" si="496"/>
        <v>0</v>
      </c>
      <c r="CN181" s="18"/>
      <c r="CO181" s="18">
        <f t="shared" si="496"/>
        <v>0</v>
      </c>
      <c r="CP181" s="74"/>
      <c r="CQ181" s="74"/>
      <c r="CR181" s="74"/>
      <c r="CS181" s="18">
        <f t="shared" si="496"/>
        <v>0</v>
      </c>
      <c r="CT181" s="18">
        <f t="shared" si="496"/>
        <v>0</v>
      </c>
      <c r="CU181" s="18">
        <f t="shared" si="496"/>
        <v>0</v>
      </c>
      <c r="CV181" s="46">
        <f t="shared" si="496"/>
        <v>0</v>
      </c>
      <c r="CW181" s="57"/>
    </row>
    <row r="182" spans="1:101" s="58" customFormat="1" ht="16.8" customHeight="1" x14ac:dyDescent="0.3">
      <c r="A182" s="105" t="s">
        <v>1</v>
      </c>
      <c r="B182" s="21" t="s">
        <v>56</v>
      </c>
      <c r="C182" s="22" t="s">
        <v>260</v>
      </c>
      <c r="D182" s="19">
        <f>SUM(E182+BZ182+CS182)</f>
        <v>234650718</v>
      </c>
      <c r="E182" s="19">
        <f>SUM(F182+BA182)</f>
        <v>234650718</v>
      </c>
      <c r="F182" s="19">
        <f>SUM(G182+H182+I182+P182+S182+T182+U182+AE182+AD182)</f>
        <v>0</v>
      </c>
      <c r="G182" s="19">
        <v>0</v>
      </c>
      <c r="H182" s="19">
        <v>0</v>
      </c>
      <c r="I182" s="19">
        <f t="shared" si="307"/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f t="shared" si="308"/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f t="shared" ref="U182" si="497">SUM(V182:AC182)</f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f>SUM(AF182:AZ182)</f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/>
      <c r="AU182" s="19"/>
      <c r="AV182" s="19">
        <v>0</v>
      </c>
      <c r="AW182" s="19">
        <v>0</v>
      </c>
      <c r="AX182" s="19">
        <v>0</v>
      </c>
      <c r="AY182" s="19"/>
      <c r="AZ182" s="19">
        <v>0</v>
      </c>
      <c r="BA182" s="19">
        <f>SUM(BB182+BF182+BI182+BK182+BN182)</f>
        <v>234650718</v>
      </c>
      <c r="BB182" s="19">
        <f>SUM(BC182:BE182)</f>
        <v>0</v>
      </c>
      <c r="BC182" s="19">
        <v>0</v>
      </c>
      <c r="BD182" s="19">
        <v>0</v>
      </c>
      <c r="BE182" s="19">
        <v>0</v>
      </c>
      <c r="BF182" s="19">
        <f>SUM(BH182:BH182)</f>
        <v>0</v>
      </c>
      <c r="BG182" s="19">
        <v>0</v>
      </c>
      <c r="BH182" s="19">
        <v>0</v>
      </c>
      <c r="BI182" s="19">
        <v>0</v>
      </c>
      <c r="BJ182" s="19">
        <v>0</v>
      </c>
      <c r="BK182" s="19">
        <f t="shared" si="310"/>
        <v>0</v>
      </c>
      <c r="BL182" s="19">
        <v>0</v>
      </c>
      <c r="BM182" s="19">
        <v>0</v>
      </c>
      <c r="BN182" s="19">
        <f>SUM(BO182:BY182)</f>
        <v>234650718</v>
      </c>
      <c r="BO182" s="19">
        <v>0</v>
      </c>
      <c r="BP182" s="19">
        <v>0</v>
      </c>
      <c r="BQ182" s="19">
        <v>0</v>
      </c>
      <c r="BR182" s="19">
        <v>0</v>
      </c>
      <c r="BS182" s="19">
        <v>0</v>
      </c>
      <c r="BT182" s="19">
        <v>0</v>
      </c>
      <c r="BU182" s="23">
        <v>179412887</v>
      </c>
      <c r="BV182" s="19">
        <v>0</v>
      </c>
      <c r="BW182" s="19">
        <v>0</v>
      </c>
      <c r="BX182" s="23">
        <v>55237831</v>
      </c>
      <c r="BY182" s="19">
        <v>0</v>
      </c>
      <c r="BZ182" s="19">
        <f>SUM(CA182+CO182)</f>
        <v>0</v>
      </c>
      <c r="CA182" s="19">
        <f>SUM(CB182+CE182+CK182)</f>
        <v>0</v>
      </c>
      <c r="CB182" s="19">
        <f t="shared" si="311"/>
        <v>0</v>
      </c>
      <c r="CC182" s="19">
        <v>0</v>
      </c>
      <c r="CD182" s="19">
        <v>0</v>
      </c>
      <c r="CE182" s="19">
        <f>SUM(CF182:CJ182)</f>
        <v>0</v>
      </c>
      <c r="CF182" s="19">
        <v>0</v>
      </c>
      <c r="CG182" s="19">
        <v>0</v>
      </c>
      <c r="CH182" s="19">
        <v>0</v>
      </c>
      <c r="CI182" s="19">
        <v>0</v>
      </c>
      <c r="CJ182" s="19">
        <v>0</v>
      </c>
      <c r="CK182" s="19">
        <f>SUM(CL182:CN182)</f>
        <v>0</v>
      </c>
      <c r="CL182" s="19">
        <v>0</v>
      </c>
      <c r="CM182" s="19">
        <v>0</v>
      </c>
      <c r="CN182" s="19"/>
      <c r="CO182" s="19">
        <v>0</v>
      </c>
      <c r="CP182" s="75"/>
      <c r="CQ182" s="75"/>
      <c r="CR182" s="75"/>
      <c r="CS182" s="19">
        <f t="shared" si="313"/>
        <v>0</v>
      </c>
      <c r="CT182" s="19">
        <f t="shared" si="314"/>
        <v>0</v>
      </c>
      <c r="CU182" s="19">
        <v>0</v>
      </c>
      <c r="CV182" s="20">
        <v>0</v>
      </c>
      <c r="CW182" s="52"/>
    </row>
    <row r="183" spans="1:101" ht="21" customHeight="1" x14ac:dyDescent="0.3">
      <c r="A183" s="104" t="s">
        <v>261</v>
      </c>
      <c r="B183" s="16" t="s">
        <v>1</v>
      </c>
      <c r="C183" s="17" t="s">
        <v>262</v>
      </c>
      <c r="D183" s="18">
        <f t="shared" ref="D183:AK183" si="498">SUM(D184)</f>
        <v>25504374</v>
      </c>
      <c r="E183" s="18">
        <f t="shared" si="498"/>
        <v>25504374</v>
      </c>
      <c r="F183" s="18">
        <f t="shared" si="498"/>
        <v>0</v>
      </c>
      <c r="G183" s="18">
        <f t="shared" si="498"/>
        <v>0</v>
      </c>
      <c r="H183" s="18">
        <f t="shared" si="498"/>
        <v>0</v>
      </c>
      <c r="I183" s="18">
        <f t="shared" si="498"/>
        <v>0</v>
      </c>
      <c r="J183" s="18">
        <f t="shared" si="498"/>
        <v>0</v>
      </c>
      <c r="K183" s="18">
        <f t="shared" si="498"/>
        <v>0</v>
      </c>
      <c r="L183" s="18">
        <f t="shared" si="498"/>
        <v>0</v>
      </c>
      <c r="M183" s="18">
        <f t="shared" si="498"/>
        <v>0</v>
      </c>
      <c r="N183" s="18">
        <f t="shared" si="498"/>
        <v>0</v>
      </c>
      <c r="O183" s="18">
        <f t="shared" si="498"/>
        <v>0</v>
      </c>
      <c r="P183" s="18">
        <f t="shared" si="498"/>
        <v>0</v>
      </c>
      <c r="Q183" s="18">
        <f t="shared" si="498"/>
        <v>0</v>
      </c>
      <c r="R183" s="18">
        <f t="shared" si="498"/>
        <v>0</v>
      </c>
      <c r="S183" s="18">
        <f t="shared" si="498"/>
        <v>0</v>
      </c>
      <c r="T183" s="18">
        <f t="shared" si="498"/>
        <v>0</v>
      </c>
      <c r="U183" s="18">
        <f t="shared" si="498"/>
        <v>0</v>
      </c>
      <c r="V183" s="18">
        <f t="shared" si="498"/>
        <v>0</v>
      </c>
      <c r="W183" s="18">
        <f t="shared" si="498"/>
        <v>0</v>
      </c>
      <c r="X183" s="18">
        <f t="shared" si="498"/>
        <v>0</v>
      </c>
      <c r="Y183" s="18">
        <f t="shared" si="498"/>
        <v>0</v>
      </c>
      <c r="Z183" s="18">
        <f t="shared" si="498"/>
        <v>0</v>
      </c>
      <c r="AA183" s="18">
        <f t="shared" si="498"/>
        <v>0</v>
      </c>
      <c r="AB183" s="18">
        <f t="shared" si="498"/>
        <v>0</v>
      </c>
      <c r="AC183" s="18">
        <f t="shared" si="498"/>
        <v>0</v>
      </c>
      <c r="AD183" s="18">
        <f t="shared" si="498"/>
        <v>0</v>
      </c>
      <c r="AE183" s="18">
        <f t="shared" si="498"/>
        <v>0</v>
      </c>
      <c r="AF183" s="18">
        <f t="shared" si="498"/>
        <v>0</v>
      </c>
      <c r="AG183" s="18">
        <f t="shared" si="498"/>
        <v>0</v>
      </c>
      <c r="AH183" s="18">
        <f t="shared" si="498"/>
        <v>0</v>
      </c>
      <c r="AI183" s="18">
        <f t="shared" si="498"/>
        <v>0</v>
      </c>
      <c r="AJ183" s="18">
        <f t="shared" si="498"/>
        <v>0</v>
      </c>
      <c r="AK183" s="18">
        <f t="shared" si="498"/>
        <v>0</v>
      </c>
      <c r="AL183" s="18">
        <f t="shared" ref="AL183:CV183" si="499">SUM(AL184)</f>
        <v>0</v>
      </c>
      <c r="AM183" s="18">
        <f t="shared" si="499"/>
        <v>0</v>
      </c>
      <c r="AN183" s="18">
        <f t="shared" si="499"/>
        <v>0</v>
      </c>
      <c r="AO183" s="18">
        <f t="shared" si="499"/>
        <v>0</v>
      </c>
      <c r="AP183" s="18">
        <f t="shared" si="499"/>
        <v>0</v>
      </c>
      <c r="AQ183" s="18">
        <f t="shared" si="499"/>
        <v>0</v>
      </c>
      <c r="AR183" s="18">
        <f t="shared" si="499"/>
        <v>0</v>
      </c>
      <c r="AS183" s="18">
        <f t="shared" si="499"/>
        <v>0</v>
      </c>
      <c r="AT183" s="18"/>
      <c r="AU183" s="18"/>
      <c r="AV183" s="18">
        <f t="shared" si="499"/>
        <v>0</v>
      </c>
      <c r="AW183" s="18">
        <f t="shared" si="499"/>
        <v>0</v>
      </c>
      <c r="AX183" s="18">
        <f t="shared" si="499"/>
        <v>0</v>
      </c>
      <c r="AY183" s="18"/>
      <c r="AZ183" s="18">
        <f t="shared" si="499"/>
        <v>0</v>
      </c>
      <c r="BA183" s="18">
        <f t="shared" si="499"/>
        <v>25504374</v>
      </c>
      <c r="BB183" s="18">
        <f t="shared" si="499"/>
        <v>0</v>
      </c>
      <c r="BC183" s="18">
        <f t="shared" si="499"/>
        <v>0</v>
      </c>
      <c r="BD183" s="18">
        <f t="shared" si="499"/>
        <v>0</v>
      </c>
      <c r="BE183" s="18">
        <f t="shared" si="499"/>
        <v>0</v>
      </c>
      <c r="BF183" s="18">
        <f t="shared" si="499"/>
        <v>0</v>
      </c>
      <c r="BG183" s="18">
        <f t="shared" si="499"/>
        <v>0</v>
      </c>
      <c r="BH183" s="18">
        <f t="shared" si="499"/>
        <v>0</v>
      </c>
      <c r="BI183" s="18">
        <f t="shared" si="499"/>
        <v>0</v>
      </c>
      <c r="BJ183" s="18">
        <f t="shared" si="499"/>
        <v>0</v>
      </c>
      <c r="BK183" s="18">
        <f t="shared" si="499"/>
        <v>0</v>
      </c>
      <c r="BL183" s="18">
        <f t="shared" si="499"/>
        <v>0</v>
      </c>
      <c r="BM183" s="18">
        <f t="shared" si="499"/>
        <v>0</v>
      </c>
      <c r="BN183" s="18">
        <f t="shared" si="499"/>
        <v>25504374</v>
      </c>
      <c r="BO183" s="18">
        <f t="shared" si="499"/>
        <v>0</v>
      </c>
      <c r="BP183" s="18">
        <f t="shared" si="499"/>
        <v>0</v>
      </c>
      <c r="BQ183" s="18">
        <f t="shared" si="499"/>
        <v>0</v>
      </c>
      <c r="BR183" s="18">
        <f t="shared" si="499"/>
        <v>25504374</v>
      </c>
      <c r="BS183" s="18">
        <f t="shared" si="499"/>
        <v>0</v>
      </c>
      <c r="BT183" s="18">
        <f t="shared" si="499"/>
        <v>0</v>
      </c>
      <c r="BU183" s="18">
        <f t="shared" si="499"/>
        <v>0</v>
      </c>
      <c r="BV183" s="18">
        <f t="shared" si="499"/>
        <v>0</v>
      </c>
      <c r="BW183" s="18">
        <f t="shared" si="499"/>
        <v>0</v>
      </c>
      <c r="BX183" s="18">
        <f t="shared" si="499"/>
        <v>0</v>
      </c>
      <c r="BY183" s="18">
        <f t="shared" si="499"/>
        <v>0</v>
      </c>
      <c r="BZ183" s="18">
        <f t="shared" si="499"/>
        <v>0</v>
      </c>
      <c r="CA183" s="18">
        <f t="shared" si="499"/>
        <v>0</v>
      </c>
      <c r="CB183" s="18">
        <f t="shared" si="499"/>
        <v>0</v>
      </c>
      <c r="CC183" s="18">
        <f t="shared" si="499"/>
        <v>0</v>
      </c>
      <c r="CD183" s="18">
        <f t="shared" si="499"/>
        <v>0</v>
      </c>
      <c r="CE183" s="18">
        <f t="shared" si="499"/>
        <v>0</v>
      </c>
      <c r="CF183" s="18">
        <f t="shared" si="499"/>
        <v>0</v>
      </c>
      <c r="CG183" s="18">
        <f t="shared" si="499"/>
        <v>0</v>
      </c>
      <c r="CH183" s="18">
        <f t="shared" si="499"/>
        <v>0</v>
      </c>
      <c r="CI183" s="18">
        <f t="shared" si="499"/>
        <v>0</v>
      </c>
      <c r="CJ183" s="18">
        <f t="shared" si="499"/>
        <v>0</v>
      </c>
      <c r="CK183" s="18">
        <f t="shared" si="499"/>
        <v>0</v>
      </c>
      <c r="CL183" s="18">
        <f t="shared" si="499"/>
        <v>0</v>
      </c>
      <c r="CM183" s="18">
        <f t="shared" si="499"/>
        <v>0</v>
      </c>
      <c r="CN183" s="18"/>
      <c r="CO183" s="18">
        <f t="shared" si="499"/>
        <v>0</v>
      </c>
      <c r="CP183" s="74"/>
      <c r="CQ183" s="74"/>
      <c r="CR183" s="74"/>
      <c r="CS183" s="18">
        <f t="shared" si="499"/>
        <v>0</v>
      </c>
      <c r="CT183" s="18">
        <f t="shared" si="499"/>
        <v>0</v>
      </c>
      <c r="CU183" s="18">
        <f t="shared" si="499"/>
        <v>0</v>
      </c>
      <c r="CV183" s="46">
        <f t="shared" si="499"/>
        <v>0</v>
      </c>
      <c r="CW183" s="57"/>
    </row>
    <row r="184" spans="1:101" s="58" customFormat="1" ht="15.6" x14ac:dyDescent="0.3">
      <c r="A184" s="105" t="s">
        <v>1</v>
      </c>
      <c r="B184" s="21" t="s">
        <v>77</v>
      </c>
      <c r="C184" s="22" t="s">
        <v>33</v>
      </c>
      <c r="D184" s="19">
        <f>SUM(E184+BZ184+CS184)</f>
        <v>25504374</v>
      </c>
      <c r="E184" s="19">
        <f>SUM(F184+BA184)</f>
        <v>25504374</v>
      </c>
      <c r="F184" s="19">
        <f>SUM(G184+H184+I184+P184+S184+T184+U184+AE184+AD184)</f>
        <v>0</v>
      </c>
      <c r="G184" s="19">
        <v>0</v>
      </c>
      <c r="H184" s="19">
        <v>0</v>
      </c>
      <c r="I184" s="19">
        <f t="shared" si="307"/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f t="shared" si="308"/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f t="shared" ref="U184" si="500">SUM(V184:AC184)</f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f>SUM(AF184:AZ184)</f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/>
      <c r="AU184" s="19"/>
      <c r="AV184" s="19">
        <v>0</v>
      </c>
      <c r="AW184" s="19">
        <v>0</v>
      </c>
      <c r="AX184" s="19">
        <v>0</v>
      </c>
      <c r="AY184" s="19"/>
      <c r="AZ184" s="19">
        <v>0</v>
      </c>
      <c r="BA184" s="19">
        <f>SUM(BB184+BF184+BI184+BK184+BN184)</f>
        <v>25504374</v>
      </c>
      <c r="BB184" s="19">
        <f>SUM(BC184:BE184)</f>
        <v>0</v>
      </c>
      <c r="BC184" s="19">
        <v>0</v>
      </c>
      <c r="BD184" s="19">
        <v>0</v>
      </c>
      <c r="BE184" s="19">
        <v>0</v>
      </c>
      <c r="BF184" s="19">
        <f>SUM(BH184:BH184)</f>
        <v>0</v>
      </c>
      <c r="BG184" s="19">
        <v>0</v>
      </c>
      <c r="BH184" s="19">
        <v>0</v>
      </c>
      <c r="BI184" s="19">
        <v>0</v>
      </c>
      <c r="BJ184" s="19">
        <v>0</v>
      </c>
      <c r="BK184" s="19">
        <f t="shared" si="310"/>
        <v>0</v>
      </c>
      <c r="BL184" s="19">
        <v>0</v>
      </c>
      <c r="BM184" s="19">
        <v>0</v>
      </c>
      <c r="BN184" s="19">
        <f>SUM(BO184:BY184)</f>
        <v>25504374</v>
      </c>
      <c r="BO184" s="19">
        <v>0</v>
      </c>
      <c r="BP184" s="19">
        <v>0</v>
      </c>
      <c r="BQ184" s="19">
        <v>0</v>
      </c>
      <c r="BR184" s="23">
        <v>25504374</v>
      </c>
      <c r="BS184" s="19">
        <v>0</v>
      </c>
      <c r="BT184" s="19">
        <v>0</v>
      </c>
      <c r="BU184" s="19">
        <v>0</v>
      </c>
      <c r="BV184" s="19">
        <v>0</v>
      </c>
      <c r="BW184" s="19">
        <v>0</v>
      </c>
      <c r="BX184" s="19">
        <v>0</v>
      </c>
      <c r="BY184" s="19">
        <v>0</v>
      </c>
      <c r="BZ184" s="19">
        <f>SUM(CA184+CO184)</f>
        <v>0</v>
      </c>
      <c r="CA184" s="19">
        <f>SUM(CB184+CE184+CK184)</f>
        <v>0</v>
      </c>
      <c r="CB184" s="19">
        <f t="shared" si="311"/>
        <v>0</v>
      </c>
      <c r="CC184" s="19">
        <v>0</v>
      </c>
      <c r="CD184" s="19">
        <v>0</v>
      </c>
      <c r="CE184" s="19">
        <f>SUM(CF184:CJ184)</f>
        <v>0</v>
      </c>
      <c r="CF184" s="19">
        <v>0</v>
      </c>
      <c r="CG184" s="19">
        <v>0</v>
      </c>
      <c r="CH184" s="19">
        <v>0</v>
      </c>
      <c r="CI184" s="19">
        <v>0</v>
      </c>
      <c r="CJ184" s="19">
        <v>0</v>
      </c>
      <c r="CK184" s="19">
        <f>SUM(CL184:CN184)</f>
        <v>0</v>
      </c>
      <c r="CL184" s="19">
        <v>0</v>
      </c>
      <c r="CM184" s="19">
        <v>0</v>
      </c>
      <c r="CN184" s="19"/>
      <c r="CO184" s="19">
        <v>0</v>
      </c>
      <c r="CP184" s="75"/>
      <c r="CQ184" s="75"/>
      <c r="CR184" s="75"/>
      <c r="CS184" s="19">
        <f t="shared" si="313"/>
        <v>0</v>
      </c>
      <c r="CT184" s="19">
        <f t="shared" si="314"/>
        <v>0</v>
      </c>
      <c r="CU184" s="19">
        <v>0</v>
      </c>
      <c r="CV184" s="20">
        <v>0</v>
      </c>
      <c r="CW184" s="52"/>
    </row>
    <row r="185" spans="1:101" ht="31.2" x14ac:dyDescent="0.3">
      <c r="A185" s="104" t="s">
        <v>263</v>
      </c>
      <c r="B185" s="16" t="s">
        <v>1</v>
      </c>
      <c r="C185" s="17" t="s">
        <v>531</v>
      </c>
      <c r="D185" s="18">
        <f t="shared" ref="D185:AK185" si="501">SUM(D186)</f>
        <v>15000</v>
      </c>
      <c r="E185" s="18">
        <f t="shared" si="501"/>
        <v>15000</v>
      </c>
      <c r="F185" s="18">
        <f t="shared" si="501"/>
        <v>0</v>
      </c>
      <c r="G185" s="18">
        <f t="shared" si="501"/>
        <v>0</v>
      </c>
      <c r="H185" s="18">
        <f t="shared" si="501"/>
        <v>0</v>
      </c>
      <c r="I185" s="18">
        <f t="shared" si="501"/>
        <v>0</v>
      </c>
      <c r="J185" s="18">
        <f t="shared" si="501"/>
        <v>0</v>
      </c>
      <c r="K185" s="18">
        <f t="shared" si="501"/>
        <v>0</v>
      </c>
      <c r="L185" s="18">
        <f t="shared" si="501"/>
        <v>0</v>
      </c>
      <c r="M185" s="18">
        <f t="shared" si="501"/>
        <v>0</v>
      </c>
      <c r="N185" s="18">
        <f t="shared" si="501"/>
        <v>0</v>
      </c>
      <c r="O185" s="18">
        <f t="shared" si="501"/>
        <v>0</v>
      </c>
      <c r="P185" s="18">
        <f t="shared" si="501"/>
        <v>0</v>
      </c>
      <c r="Q185" s="18">
        <f t="shared" si="501"/>
        <v>0</v>
      </c>
      <c r="R185" s="18">
        <f t="shared" si="501"/>
        <v>0</v>
      </c>
      <c r="S185" s="18">
        <f t="shared" si="501"/>
        <v>0</v>
      </c>
      <c r="T185" s="18">
        <f t="shared" si="501"/>
        <v>0</v>
      </c>
      <c r="U185" s="18">
        <f t="shared" si="501"/>
        <v>0</v>
      </c>
      <c r="V185" s="18">
        <f t="shared" si="501"/>
        <v>0</v>
      </c>
      <c r="W185" s="18">
        <f t="shared" si="501"/>
        <v>0</v>
      </c>
      <c r="X185" s="18">
        <f t="shared" si="501"/>
        <v>0</v>
      </c>
      <c r="Y185" s="18">
        <f t="shared" si="501"/>
        <v>0</v>
      </c>
      <c r="Z185" s="18">
        <f t="shared" si="501"/>
        <v>0</v>
      </c>
      <c r="AA185" s="18">
        <f t="shared" si="501"/>
        <v>0</v>
      </c>
      <c r="AB185" s="18">
        <f t="shared" si="501"/>
        <v>0</v>
      </c>
      <c r="AC185" s="18">
        <f t="shared" si="501"/>
        <v>0</v>
      </c>
      <c r="AD185" s="18">
        <f t="shared" si="501"/>
        <v>0</v>
      </c>
      <c r="AE185" s="18">
        <f t="shared" si="501"/>
        <v>0</v>
      </c>
      <c r="AF185" s="18">
        <f t="shared" si="501"/>
        <v>0</v>
      </c>
      <c r="AG185" s="18">
        <f t="shared" si="501"/>
        <v>0</v>
      </c>
      <c r="AH185" s="18">
        <f t="shared" si="501"/>
        <v>0</v>
      </c>
      <c r="AI185" s="18">
        <f t="shared" si="501"/>
        <v>0</v>
      </c>
      <c r="AJ185" s="18">
        <f t="shared" si="501"/>
        <v>0</v>
      </c>
      <c r="AK185" s="18">
        <f t="shared" si="501"/>
        <v>0</v>
      </c>
      <c r="AL185" s="18">
        <f t="shared" ref="AL185:CV185" si="502">SUM(AL186)</f>
        <v>0</v>
      </c>
      <c r="AM185" s="18">
        <f t="shared" si="502"/>
        <v>0</v>
      </c>
      <c r="AN185" s="18">
        <f t="shared" si="502"/>
        <v>0</v>
      </c>
      <c r="AO185" s="18">
        <f t="shared" si="502"/>
        <v>0</v>
      </c>
      <c r="AP185" s="18">
        <f t="shared" si="502"/>
        <v>0</v>
      </c>
      <c r="AQ185" s="18">
        <f t="shared" si="502"/>
        <v>0</v>
      </c>
      <c r="AR185" s="18">
        <f t="shared" si="502"/>
        <v>0</v>
      </c>
      <c r="AS185" s="18">
        <f t="shared" si="502"/>
        <v>0</v>
      </c>
      <c r="AT185" s="18"/>
      <c r="AU185" s="18"/>
      <c r="AV185" s="18">
        <f t="shared" si="502"/>
        <v>0</v>
      </c>
      <c r="AW185" s="18">
        <f t="shared" si="502"/>
        <v>0</v>
      </c>
      <c r="AX185" s="18">
        <f t="shared" si="502"/>
        <v>0</v>
      </c>
      <c r="AY185" s="18"/>
      <c r="AZ185" s="18">
        <f t="shared" si="502"/>
        <v>0</v>
      </c>
      <c r="BA185" s="18">
        <f t="shared" si="502"/>
        <v>15000</v>
      </c>
      <c r="BB185" s="18">
        <f t="shared" si="502"/>
        <v>0</v>
      </c>
      <c r="BC185" s="18">
        <f t="shared" si="502"/>
        <v>0</v>
      </c>
      <c r="BD185" s="18">
        <f t="shared" si="502"/>
        <v>0</v>
      </c>
      <c r="BE185" s="18">
        <f t="shared" si="502"/>
        <v>0</v>
      </c>
      <c r="BF185" s="18">
        <f t="shared" si="502"/>
        <v>0</v>
      </c>
      <c r="BG185" s="18">
        <f t="shared" si="502"/>
        <v>0</v>
      </c>
      <c r="BH185" s="18">
        <f t="shared" si="502"/>
        <v>0</v>
      </c>
      <c r="BI185" s="18">
        <f t="shared" si="502"/>
        <v>0</v>
      </c>
      <c r="BJ185" s="18">
        <f t="shared" si="502"/>
        <v>0</v>
      </c>
      <c r="BK185" s="18">
        <f t="shared" si="502"/>
        <v>0</v>
      </c>
      <c r="BL185" s="18">
        <f t="shared" si="502"/>
        <v>0</v>
      </c>
      <c r="BM185" s="18">
        <f t="shared" si="502"/>
        <v>0</v>
      </c>
      <c r="BN185" s="18">
        <f t="shared" si="502"/>
        <v>15000</v>
      </c>
      <c r="BO185" s="18">
        <f t="shared" si="502"/>
        <v>0</v>
      </c>
      <c r="BP185" s="18">
        <f t="shared" si="502"/>
        <v>0</v>
      </c>
      <c r="BQ185" s="18">
        <f t="shared" si="502"/>
        <v>0</v>
      </c>
      <c r="BR185" s="18">
        <f t="shared" si="502"/>
        <v>0</v>
      </c>
      <c r="BS185" s="18">
        <f t="shared" si="502"/>
        <v>15000</v>
      </c>
      <c r="BT185" s="18">
        <f t="shared" si="502"/>
        <v>0</v>
      </c>
      <c r="BU185" s="18">
        <f t="shared" si="502"/>
        <v>0</v>
      </c>
      <c r="BV185" s="18">
        <f t="shared" si="502"/>
        <v>0</v>
      </c>
      <c r="BW185" s="18">
        <f t="shared" si="502"/>
        <v>0</v>
      </c>
      <c r="BX185" s="18">
        <f t="shared" si="502"/>
        <v>0</v>
      </c>
      <c r="BY185" s="18">
        <f t="shared" si="502"/>
        <v>0</v>
      </c>
      <c r="BZ185" s="18">
        <f t="shared" si="502"/>
        <v>0</v>
      </c>
      <c r="CA185" s="18">
        <f t="shared" si="502"/>
        <v>0</v>
      </c>
      <c r="CB185" s="18">
        <f t="shared" si="502"/>
        <v>0</v>
      </c>
      <c r="CC185" s="18">
        <f t="shared" si="502"/>
        <v>0</v>
      </c>
      <c r="CD185" s="18">
        <f t="shared" si="502"/>
        <v>0</v>
      </c>
      <c r="CE185" s="18">
        <f t="shared" si="502"/>
        <v>0</v>
      </c>
      <c r="CF185" s="18">
        <f t="shared" si="502"/>
        <v>0</v>
      </c>
      <c r="CG185" s="18">
        <f t="shared" si="502"/>
        <v>0</v>
      </c>
      <c r="CH185" s="18">
        <f t="shared" si="502"/>
        <v>0</v>
      </c>
      <c r="CI185" s="18">
        <f t="shared" si="502"/>
        <v>0</v>
      </c>
      <c r="CJ185" s="18">
        <f t="shared" si="502"/>
        <v>0</v>
      </c>
      <c r="CK185" s="18">
        <f t="shared" si="502"/>
        <v>0</v>
      </c>
      <c r="CL185" s="18">
        <f t="shared" si="502"/>
        <v>0</v>
      </c>
      <c r="CM185" s="18">
        <f t="shared" si="502"/>
        <v>0</v>
      </c>
      <c r="CN185" s="18"/>
      <c r="CO185" s="18">
        <f t="shared" si="502"/>
        <v>0</v>
      </c>
      <c r="CP185" s="74"/>
      <c r="CQ185" s="74"/>
      <c r="CR185" s="74"/>
      <c r="CS185" s="18">
        <f t="shared" si="502"/>
        <v>0</v>
      </c>
      <c r="CT185" s="18">
        <f t="shared" si="502"/>
        <v>0</v>
      </c>
      <c r="CU185" s="18">
        <f t="shared" si="502"/>
        <v>0</v>
      </c>
      <c r="CV185" s="46">
        <f t="shared" si="502"/>
        <v>0</v>
      </c>
      <c r="CW185" s="57"/>
    </row>
    <row r="186" spans="1:101" s="58" customFormat="1" ht="15.6" x14ac:dyDescent="0.3">
      <c r="A186" s="105" t="s">
        <v>1</v>
      </c>
      <c r="B186" s="21" t="s">
        <v>77</v>
      </c>
      <c r="C186" s="22" t="s">
        <v>264</v>
      </c>
      <c r="D186" s="19">
        <f>SUM(E186+BZ186+CS186)</f>
        <v>15000</v>
      </c>
      <c r="E186" s="19">
        <f>SUM(F186+BA186)</f>
        <v>15000</v>
      </c>
      <c r="F186" s="19">
        <f>SUM(G186+H186+I186+P186+S186+T186+U186+AE186+AD186)</f>
        <v>0</v>
      </c>
      <c r="G186" s="19">
        <v>0</v>
      </c>
      <c r="H186" s="19">
        <v>0</v>
      </c>
      <c r="I186" s="19">
        <f t="shared" si="307"/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f t="shared" si="308"/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f t="shared" ref="U186" si="503">SUM(V186:AC186)</f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f>SUM(AF186:AZ186)</f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/>
      <c r="AU186" s="19"/>
      <c r="AV186" s="19">
        <v>0</v>
      </c>
      <c r="AW186" s="19">
        <v>0</v>
      </c>
      <c r="AX186" s="19">
        <v>0</v>
      </c>
      <c r="AY186" s="19"/>
      <c r="AZ186" s="19">
        <v>0</v>
      </c>
      <c r="BA186" s="19">
        <f>SUM(BB186+BF186+BI186+BK186+BN186)</f>
        <v>15000</v>
      </c>
      <c r="BB186" s="19">
        <f>SUM(BC186:BE186)</f>
        <v>0</v>
      </c>
      <c r="BC186" s="19">
        <v>0</v>
      </c>
      <c r="BD186" s="19">
        <v>0</v>
      </c>
      <c r="BE186" s="19">
        <v>0</v>
      </c>
      <c r="BF186" s="19">
        <f>SUM(BH186:BH186)</f>
        <v>0</v>
      </c>
      <c r="BG186" s="19">
        <v>0</v>
      </c>
      <c r="BH186" s="19">
        <v>0</v>
      </c>
      <c r="BI186" s="19">
        <v>0</v>
      </c>
      <c r="BJ186" s="19">
        <v>0</v>
      </c>
      <c r="BK186" s="19">
        <f t="shared" si="310"/>
        <v>0</v>
      </c>
      <c r="BL186" s="19">
        <v>0</v>
      </c>
      <c r="BM186" s="19">
        <v>0</v>
      </c>
      <c r="BN186" s="19">
        <f>SUM(BO186:BY186)</f>
        <v>15000</v>
      </c>
      <c r="BO186" s="19">
        <v>0</v>
      </c>
      <c r="BP186" s="19">
        <v>0</v>
      </c>
      <c r="BQ186" s="19">
        <v>0</v>
      </c>
      <c r="BR186" s="19">
        <v>0</v>
      </c>
      <c r="BS186" s="19">
        <v>15000</v>
      </c>
      <c r="BT186" s="19">
        <v>0</v>
      </c>
      <c r="BU186" s="19">
        <v>0</v>
      </c>
      <c r="BV186" s="19">
        <v>0</v>
      </c>
      <c r="BW186" s="19">
        <v>0</v>
      </c>
      <c r="BX186" s="19">
        <v>0</v>
      </c>
      <c r="BY186" s="19">
        <v>0</v>
      </c>
      <c r="BZ186" s="19">
        <f>SUM(CA186+CO186)</f>
        <v>0</v>
      </c>
      <c r="CA186" s="19">
        <f>SUM(CB186+CE186+CK186)</f>
        <v>0</v>
      </c>
      <c r="CB186" s="19">
        <f t="shared" si="311"/>
        <v>0</v>
      </c>
      <c r="CC186" s="19">
        <v>0</v>
      </c>
      <c r="CD186" s="19">
        <v>0</v>
      </c>
      <c r="CE186" s="19">
        <f>SUM(CF186:CJ186)</f>
        <v>0</v>
      </c>
      <c r="CF186" s="19">
        <v>0</v>
      </c>
      <c r="CG186" s="19">
        <v>0</v>
      </c>
      <c r="CH186" s="19">
        <v>0</v>
      </c>
      <c r="CI186" s="19">
        <v>0</v>
      </c>
      <c r="CJ186" s="19">
        <v>0</v>
      </c>
      <c r="CK186" s="19">
        <f>SUM(CL186:CN186)</f>
        <v>0</v>
      </c>
      <c r="CL186" s="19">
        <v>0</v>
      </c>
      <c r="CM186" s="19">
        <v>0</v>
      </c>
      <c r="CN186" s="19"/>
      <c r="CO186" s="19">
        <v>0</v>
      </c>
      <c r="CP186" s="75"/>
      <c r="CQ186" s="75"/>
      <c r="CR186" s="75"/>
      <c r="CS186" s="19">
        <f t="shared" si="313"/>
        <v>0</v>
      </c>
      <c r="CT186" s="19">
        <f t="shared" si="314"/>
        <v>0</v>
      </c>
      <c r="CU186" s="19">
        <v>0</v>
      </c>
      <c r="CV186" s="20">
        <v>0</v>
      </c>
      <c r="CW186" s="52"/>
    </row>
    <row r="187" spans="1:101" ht="31.2" x14ac:dyDescent="0.3">
      <c r="A187" s="104" t="s">
        <v>265</v>
      </c>
      <c r="B187" s="16" t="s">
        <v>1</v>
      </c>
      <c r="C187" s="17" t="s">
        <v>266</v>
      </c>
      <c r="D187" s="18">
        <f t="shared" ref="D187:AK187" si="504">SUM(D188)</f>
        <v>13158360</v>
      </c>
      <c r="E187" s="18">
        <f t="shared" si="504"/>
        <v>13158360</v>
      </c>
      <c r="F187" s="18">
        <f t="shared" si="504"/>
        <v>0</v>
      </c>
      <c r="G187" s="18">
        <f t="shared" si="504"/>
        <v>0</v>
      </c>
      <c r="H187" s="18">
        <f t="shared" si="504"/>
        <v>0</v>
      </c>
      <c r="I187" s="18">
        <f t="shared" si="504"/>
        <v>0</v>
      </c>
      <c r="J187" s="18">
        <f t="shared" si="504"/>
        <v>0</v>
      </c>
      <c r="K187" s="18">
        <f t="shared" si="504"/>
        <v>0</v>
      </c>
      <c r="L187" s="18">
        <f t="shared" si="504"/>
        <v>0</v>
      </c>
      <c r="M187" s="18">
        <f t="shared" si="504"/>
        <v>0</v>
      </c>
      <c r="N187" s="18">
        <f t="shared" si="504"/>
        <v>0</v>
      </c>
      <c r="O187" s="18">
        <f t="shared" si="504"/>
        <v>0</v>
      </c>
      <c r="P187" s="18">
        <f t="shared" si="504"/>
        <v>0</v>
      </c>
      <c r="Q187" s="18">
        <f t="shared" si="504"/>
        <v>0</v>
      </c>
      <c r="R187" s="18">
        <f t="shared" si="504"/>
        <v>0</v>
      </c>
      <c r="S187" s="18">
        <f t="shared" si="504"/>
        <v>0</v>
      </c>
      <c r="T187" s="18">
        <f t="shared" si="504"/>
        <v>0</v>
      </c>
      <c r="U187" s="18">
        <f t="shared" si="504"/>
        <v>0</v>
      </c>
      <c r="V187" s="18">
        <f t="shared" si="504"/>
        <v>0</v>
      </c>
      <c r="W187" s="18">
        <f t="shared" si="504"/>
        <v>0</v>
      </c>
      <c r="X187" s="18">
        <f t="shared" si="504"/>
        <v>0</v>
      </c>
      <c r="Y187" s="18">
        <f t="shared" si="504"/>
        <v>0</v>
      </c>
      <c r="Z187" s="18">
        <f t="shared" si="504"/>
        <v>0</v>
      </c>
      <c r="AA187" s="18">
        <f t="shared" si="504"/>
        <v>0</v>
      </c>
      <c r="AB187" s="18">
        <f t="shared" si="504"/>
        <v>0</v>
      </c>
      <c r="AC187" s="18">
        <f t="shared" si="504"/>
        <v>0</v>
      </c>
      <c r="AD187" s="18">
        <f t="shared" si="504"/>
        <v>0</v>
      </c>
      <c r="AE187" s="18">
        <f t="shared" si="504"/>
        <v>0</v>
      </c>
      <c r="AF187" s="18">
        <f t="shared" si="504"/>
        <v>0</v>
      </c>
      <c r="AG187" s="18">
        <f t="shared" si="504"/>
        <v>0</v>
      </c>
      <c r="AH187" s="18">
        <f t="shared" si="504"/>
        <v>0</v>
      </c>
      <c r="AI187" s="18">
        <f t="shared" si="504"/>
        <v>0</v>
      </c>
      <c r="AJ187" s="18">
        <f t="shared" si="504"/>
        <v>0</v>
      </c>
      <c r="AK187" s="18">
        <f t="shared" si="504"/>
        <v>0</v>
      </c>
      <c r="AL187" s="18">
        <f t="shared" ref="AL187:CV187" si="505">SUM(AL188)</f>
        <v>0</v>
      </c>
      <c r="AM187" s="18">
        <f t="shared" si="505"/>
        <v>0</v>
      </c>
      <c r="AN187" s="18">
        <f t="shared" si="505"/>
        <v>0</v>
      </c>
      <c r="AO187" s="18">
        <f t="shared" si="505"/>
        <v>0</v>
      </c>
      <c r="AP187" s="18">
        <f t="shared" si="505"/>
        <v>0</v>
      </c>
      <c r="AQ187" s="18">
        <f t="shared" si="505"/>
        <v>0</v>
      </c>
      <c r="AR187" s="18">
        <f t="shared" si="505"/>
        <v>0</v>
      </c>
      <c r="AS187" s="18">
        <f t="shared" si="505"/>
        <v>0</v>
      </c>
      <c r="AT187" s="18"/>
      <c r="AU187" s="18"/>
      <c r="AV187" s="18">
        <f t="shared" si="505"/>
        <v>0</v>
      </c>
      <c r="AW187" s="18">
        <f t="shared" si="505"/>
        <v>0</v>
      </c>
      <c r="AX187" s="18">
        <f t="shared" si="505"/>
        <v>0</v>
      </c>
      <c r="AY187" s="18"/>
      <c r="AZ187" s="18">
        <f t="shared" si="505"/>
        <v>0</v>
      </c>
      <c r="BA187" s="18">
        <f t="shared" si="505"/>
        <v>13158360</v>
      </c>
      <c r="BB187" s="18">
        <f t="shared" si="505"/>
        <v>0</v>
      </c>
      <c r="BC187" s="18">
        <f t="shared" si="505"/>
        <v>0</v>
      </c>
      <c r="BD187" s="18">
        <f t="shared" si="505"/>
        <v>0</v>
      </c>
      <c r="BE187" s="18">
        <f t="shared" si="505"/>
        <v>0</v>
      </c>
      <c r="BF187" s="18">
        <f t="shared" si="505"/>
        <v>0</v>
      </c>
      <c r="BG187" s="18">
        <f t="shared" si="505"/>
        <v>0</v>
      </c>
      <c r="BH187" s="18">
        <f t="shared" si="505"/>
        <v>0</v>
      </c>
      <c r="BI187" s="18">
        <f t="shared" si="505"/>
        <v>0</v>
      </c>
      <c r="BJ187" s="18">
        <f t="shared" si="505"/>
        <v>0</v>
      </c>
      <c r="BK187" s="18">
        <f t="shared" si="505"/>
        <v>0</v>
      </c>
      <c r="BL187" s="18">
        <f t="shared" si="505"/>
        <v>0</v>
      </c>
      <c r="BM187" s="18">
        <f t="shared" si="505"/>
        <v>0</v>
      </c>
      <c r="BN187" s="18">
        <f t="shared" si="505"/>
        <v>13158360</v>
      </c>
      <c r="BO187" s="18">
        <f t="shared" si="505"/>
        <v>0</v>
      </c>
      <c r="BP187" s="18">
        <f t="shared" si="505"/>
        <v>13158360</v>
      </c>
      <c r="BQ187" s="18">
        <f t="shared" si="505"/>
        <v>0</v>
      </c>
      <c r="BR187" s="18">
        <f t="shared" si="505"/>
        <v>0</v>
      </c>
      <c r="BS187" s="18">
        <f t="shared" si="505"/>
        <v>0</v>
      </c>
      <c r="BT187" s="18">
        <f t="shared" si="505"/>
        <v>0</v>
      </c>
      <c r="BU187" s="18">
        <f t="shared" si="505"/>
        <v>0</v>
      </c>
      <c r="BV187" s="18">
        <f t="shared" si="505"/>
        <v>0</v>
      </c>
      <c r="BW187" s="18">
        <f t="shared" si="505"/>
        <v>0</v>
      </c>
      <c r="BX187" s="18">
        <f t="shared" si="505"/>
        <v>0</v>
      </c>
      <c r="BY187" s="18">
        <f t="shared" si="505"/>
        <v>0</v>
      </c>
      <c r="BZ187" s="18">
        <f t="shared" si="505"/>
        <v>0</v>
      </c>
      <c r="CA187" s="18">
        <f t="shared" si="505"/>
        <v>0</v>
      </c>
      <c r="CB187" s="18">
        <f t="shared" si="505"/>
        <v>0</v>
      </c>
      <c r="CC187" s="18">
        <f t="shared" si="505"/>
        <v>0</v>
      </c>
      <c r="CD187" s="18">
        <f t="shared" si="505"/>
        <v>0</v>
      </c>
      <c r="CE187" s="18">
        <f t="shared" si="505"/>
        <v>0</v>
      </c>
      <c r="CF187" s="18">
        <f t="shared" si="505"/>
        <v>0</v>
      </c>
      <c r="CG187" s="18">
        <f t="shared" si="505"/>
        <v>0</v>
      </c>
      <c r="CH187" s="18">
        <f t="shared" si="505"/>
        <v>0</v>
      </c>
      <c r="CI187" s="18">
        <f t="shared" si="505"/>
        <v>0</v>
      </c>
      <c r="CJ187" s="18">
        <f t="shared" si="505"/>
        <v>0</v>
      </c>
      <c r="CK187" s="18">
        <f t="shared" si="505"/>
        <v>0</v>
      </c>
      <c r="CL187" s="18">
        <f t="shared" si="505"/>
        <v>0</v>
      </c>
      <c r="CM187" s="18">
        <f t="shared" si="505"/>
        <v>0</v>
      </c>
      <c r="CN187" s="18"/>
      <c r="CO187" s="18">
        <f t="shared" si="505"/>
        <v>0</v>
      </c>
      <c r="CP187" s="74"/>
      <c r="CQ187" s="74"/>
      <c r="CR187" s="74"/>
      <c r="CS187" s="18">
        <f t="shared" si="505"/>
        <v>0</v>
      </c>
      <c r="CT187" s="18">
        <f t="shared" si="505"/>
        <v>0</v>
      </c>
      <c r="CU187" s="18">
        <f t="shared" si="505"/>
        <v>0</v>
      </c>
      <c r="CV187" s="46">
        <f t="shared" si="505"/>
        <v>0</v>
      </c>
      <c r="CW187" s="57"/>
    </row>
    <row r="188" spans="1:101" s="58" customFormat="1" ht="15.6" x14ac:dyDescent="0.3">
      <c r="A188" s="105" t="s">
        <v>1</v>
      </c>
      <c r="B188" s="21" t="s">
        <v>56</v>
      </c>
      <c r="C188" s="22" t="s">
        <v>267</v>
      </c>
      <c r="D188" s="19">
        <f>SUM(E188+BZ188+CS188)</f>
        <v>13158360</v>
      </c>
      <c r="E188" s="19">
        <f>SUM(F188+BA188)</f>
        <v>13158360</v>
      </c>
      <c r="F188" s="19">
        <f>SUM(G188+H188+I188+P188+S188+T188+U188+AE188+AD188)</f>
        <v>0</v>
      </c>
      <c r="G188" s="19">
        <v>0</v>
      </c>
      <c r="H188" s="19">
        <v>0</v>
      </c>
      <c r="I188" s="19">
        <f t="shared" si="307"/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f t="shared" si="308"/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f t="shared" ref="U188" si="506">SUM(V188:AC188)</f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f>SUM(AF188:AZ188)</f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/>
      <c r="AU188" s="19"/>
      <c r="AV188" s="19">
        <v>0</v>
      </c>
      <c r="AW188" s="19">
        <v>0</v>
      </c>
      <c r="AX188" s="19">
        <v>0</v>
      </c>
      <c r="AY188" s="19"/>
      <c r="AZ188" s="19">
        <v>0</v>
      </c>
      <c r="BA188" s="19">
        <f>SUM(BB188+BF188+BI188+BK188+BN188)</f>
        <v>13158360</v>
      </c>
      <c r="BB188" s="19">
        <f>SUM(BC188:BE188)</f>
        <v>0</v>
      </c>
      <c r="BC188" s="19">
        <v>0</v>
      </c>
      <c r="BD188" s="19">
        <v>0</v>
      </c>
      <c r="BE188" s="19">
        <v>0</v>
      </c>
      <c r="BF188" s="19">
        <f>SUM(BH188:BH188)</f>
        <v>0</v>
      </c>
      <c r="BG188" s="19">
        <v>0</v>
      </c>
      <c r="BH188" s="19">
        <v>0</v>
      </c>
      <c r="BI188" s="19">
        <v>0</v>
      </c>
      <c r="BJ188" s="19">
        <v>0</v>
      </c>
      <c r="BK188" s="19">
        <f t="shared" si="310"/>
        <v>0</v>
      </c>
      <c r="BL188" s="19">
        <v>0</v>
      </c>
      <c r="BM188" s="19">
        <v>0</v>
      </c>
      <c r="BN188" s="19">
        <f>SUM(BO188:BY188)</f>
        <v>13158360</v>
      </c>
      <c r="BO188" s="19">
        <v>0</v>
      </c>
      <c r="BP188" s="23">
        <v>13158360</v>
      </c>
      <c r="BQ188" s="19">
        <v>0</v>
      </c>
      <c r="BR188" s="19">
        <v>0</v>
      </c>
      <c r="BS188" s="19">
        <v>0</v>
      </c>
      <c r="BT188" s="19">
        <v>0</v>
      </c>
      <c r="BU188" s="19">
        <v>0</v>
      </c>
      <c r="BV188" s="19">
        <v>0</v>
      </c>
      <c r="BW188" s="19">
        <v>0</v>
      </c>
      <c r="BX188" s="19">
        <v>0</v>
      </c>
      <c r="BY188" s="19">
        <v>0</v>
      </c>
      <c r="BZ188" s="19">
        <f>SUM(CA188+CO188)</f>
        <v>0</v>
      </c>
      <c r="CA188" s="19">
        <f>SUM(CB188+CE188+CK188)</f>
        <v>0</v>
      </c>
      <c r="CB188" s="19">
        <f t="shared" si="311"/>
        <v>0</v>
      </c>
      <c r="CC188" s="19">
        <v>0</v>
      </c>
      <c r="CD188" s="19">
        <v>0</v>
      </c>
      <c r="CE188" s="19">
        <f>SUM(CF188:CJ188)</f>
        <v>0</v>
      </c>
      <c r="CF188" s="19">
        <v>0</v>
      </c>
      <c r="CG188" s="19">
        <v>0</v>
      </c>
      <c r="CH188" s="19">
        <v>0</v>
      </c>
      <c r="CI188" s="19">
        <v>0</v>
      </c>
      <c r="CJ188" s="19">
        <v>0</v>
      </c>
      <c r="CK188" s="19">
        <f>SUM(CL188:CN188)</f>
        <v>0</v>
      </c>
      <c r="CL188" s="19">
        <v>0</v>
      </c>
      <c r="CM188" s="19">
        <v>0</v>
      </c>
      <c r="CN188" s="19"/>
      <c r="CO188" s="19">
        <v>0</v>
      </c>
      <c r="CP188" s="75"/>
      <c r="CQ188" s="75"/>
      <c r="CR188" s="75"/>
      <c r="CS188" s="19">
        <f t="shared" si="313"/>
        <v>0</v>
      </c>
      <c r="CT188" s="19">
        <f t="shared" si="314"/>
        <v>0</v>
      </c>
      <c r="CU188" s="19">
        <v>0</v>
      </c>
      <c r="CV188" s="20">
        <v>0</v>
      </c>
      <c r="CW188" s="52"/>
    </row>
    <row r="189" spans="1:101" ht="31.2" x14ac:dyDescent="0.3">
      <c r="A189" s="104" t="s">
        <v>268</v>
      </c>
      <c r="B189" s="16" t="s">
        <v>1</v>
      </c>
      <c r="C189" s="17" t="s">
        <v>532</v>
      </c>
      <c r="D189" s="18">
        <f t="shared" ref="D189:AS189" si="507">SUM(D190:D196)</f>
        <v>150743299</v>
      </c>
      <c r="E189" s="18">
        <f t="shared" si="507"/>
        <v>150700977</v>
      </c>
      <c r="F189" s="18">
        <f t="shared" si="507"/>
        <v>19745966</v>
      </c>
      <c r="G189" s="18">
        <f t="shared" si="507"/>
        <v>1906797</v>
      </c>
      <c r="H189" s="18">
        <f t="shared" si="507"/>
        <v>199235</v>
      </c>
      <c r="I189" s="18">
        <f t="shared" si="507"/>
        <v>2751097</v>
      </c>
      <c r="J189" s="18">
        <f t="shared" si="507"/>
        <v>0</v>
      </c>
      <c r="K189" s="18">
        <f t="shared" si="507"/>
        <v>7500</v>
      </c>
      <c r="L189" s="18">
        <f t="shared" si="507"/>
        <v>0</v>
      </c>
      <c r="M189" s="18">
        <f t="shared" si="507"/>
        <v>0</v>
      </c>
      <c r="N189" s="18">
        <f t="shared" si="507"/>
        <v>481712</v>
      </c>
      <c r="O189" s="18">
        <f t="shared" si="507"/>
        <v>2261885</v>
      </c>
      <c r="P189" s="18">
        <f t="shared" si="507"/>
        <v>0</v>
      </c>
      <c r="Q189" s="18">
        <f t="shared" si="507"/>
        <v>0</v>
      </c>
      <c r="R189" s="18">
        <f t="shared" si="507"/>
        <v>0</v>
      </c>
      <c r="S189" s="18">
        <f t="shared" si="507"/>
        <v>0</v>
      </c>
      <c r="T189" s="18">
        <f t="shared" si="507"/>
        <v>71833</v>
      </c>
      <c r="U189" s="18">
        <f t="shared" si="507"/>
        <v>0</v>
      </c>
      <c r="V189" s="18">
        <f t="shared" si="507"/>
        <v>0</v>
      </c>
      <c r="W189" s="18">
        <f t="shared" si="507"/>
        <v>0</v>
      </c>
      <c r="X189" s="18">
        <f t="shared" si="507"/>
        <v>0</v>
      </c>
      <c r="Y189" s="18">
        <f t="shared" si="507"/>
        <v>0</v>
      </c>
      <c r="Z189" s="18">
        <f t="shared" si="507"/>
        <v>0</v>
      </c>
      <c r="AA189" s="18">
        <f t="shared" si="507"/>
        <v>0</v>
      </c>
      <c r="AB189" s="18">
        <f t="shared" si="507"/>
        <v>0</v>
      </c>
      <c r="AC189" s="18">
        <f t="shared" si="507"/>
        <v>0</v>
      </c>
      <c r="AD189" s="18">
        <f t="shared" si="507"/>
        <v>0</v>
      </c>
      <c r="AE189" s="18">
        <f t="shared" si="507"/>
        <v>14817004</v>
      </c>
      <c r="AF189" s="18">
        <f t="shared" si="507"/>
        <v>0</v>
      </c>
      <c r="AG189" s="18">
        <f t="shared" si="507"/>
        <v>0</v>
      </c>
      <c r="AH189" s="18">
        <f t="shared" si="507"/>
        <v>0</v>
      </c>
      <c r="AI189" s="18">
        <f t="shared" si="507"/>
        <v>0</v>
      </c>
      <c r="AJ189" s="18">
        <f t="shared" si="507"/>
        <v>0</v>
      </c>
      <c r="AK189" s="18">
        <f t="shared" si="507"/>
        <v>0</v>
      </c>
      <c r="AL189" s="18">
        <f t="shared" si="507"/>
        <v>0</v>
      </c>
      <c r="AM189" s="18">
        <f t="shared" si="507"/>
        <v>0</v>
      </c>
      <c r="AN189" s="18">
        <f t="shared" si="507"/>
        <v>0</v>
      </c>
      <c r="AO189" s="18">
        <f t="shared" si="507"/>
        <v>0</v>
      </c>
      <c r="AP189" s="18">
        <f t="shared" si="507"/>
        <v>0</v>
      </c>
      <c r="AQ189" s="18">
        <f t="shared" si="507"/>
        <v>0</v>
      </c>
      <c r="AR189" s="18">
        <f t="shared" si="507"/>
        <v>0</v>
      </c>
      <c r="AS189" s="18">
        <f t="shared" si="507"/>
        <v>0</v>
      </c>
      <c r="AT189" s="18"/>
      <c r="AU189" s="18"/>
      <c r="AV189" s="18">
        <f>SUM(AV190:AV196)</f>
        <v>14508006</v>
      </c>
      <c r="AW189" s="18">
        <f>SUM(AW190:AW196)</f>
        <v>23367</v>
      </c>
      <c r="AX189" s="18">
        <f>SUM(AX190:AX196)</f>
        <v>0</v>
      </c>
      <c r="AY189" s="18"/>
      <c r="AZ189" s="18">
        <f t="shared" ref="AZ189:CM189" si="508">SUM(AZ190:AZ196)</f>
        <v>285631</v>
      </c>
      <c r="BA189" s="18">
        <f t="shared" si="508"/>
        <v>130955011</v>
      </c>
      <c r="BB189" s="18">
        <f t="shared" si="508"/>
        <v>0</v>
      </c>
      <c r="BC189" s="18">
        <f t="shared" si="508"/>
        <v>0</v>
      </c>
      <c r="BD189" s="18">
        <f t="shared" si="508"/>
        <v>0</v>
      </c>
      <c r="BE189" s="18">
        <f t="shared" si="508"/>
        <v>0</v>
      </c>
      <c r="BF189" s="18">
        <f t="shared" si="508"/>
        <v>0</v>
      </c>
      <c r="BG189" s="18">
        <f t="shared" si="508"/>
        <v>0</v>
      </c>
      <c r="BH189" s="18">
        <f t="shared" si="508"/>
        <v>0</v>
      </c>
      <c r="BI189" s="18">
        <f t="shared" si="508"/>
        <v>0</v>
      </c>
      <c r="BJ189" s="18">
        <f t="shared" ref="BJ189" si="509">SUM(BJ190:BJ196)</f>
        <v>0</v>
      </c>
      <c r="BK189" s="18">
        <f t="shared" si="508"/>
        <v>0</v>
      </c>
      <c r="BL189" s="18">
        <f t="shared" si="508"/>
        <v>0</v>
      </c>
      <c r="BM189" s="18">
        <f t="shared" si="508"/>
        <v>0</v>
      </c>
      <c r="BN189" s="18">
        <f t="shared" si="508"/>
        <v>130955011</v>
      </c>
      <c r="BO189" s="18">
        <f t="shared" si="508"/>
        <v>0</v>
      </c>
      <c r="BP189" s="18">
        <f t="shared" si="508"/>
        <v>0</v>
      </c>
      <c r="BQ189" s="18">
        <f t="shared" si="508"/>
        <v>0</v>
      </c>
      <c r="BR189" s="18">
        <f t="shared" si="508"/>
        <v>0</v>
      </c>
      <c r="BS189" s="18">
        <f t="shared" si="508"/>
        <v>0</v>
      </c>
      <c r="BT189" s="18">
        <f t="shared" si="508"/>
        <v>0</v>
      </c>
      <c r="BU189" s="18">
        <f t="shared" si="508"/>
        <v>0</v>
      </c>
      <c r="BV189" s="18">
        <f t="shared" si="508"/>
        <v>1763250</v>
      </c>
      <c r="BW189" s="18">
        <f t="shared" si="508"/>
        <v>286944</v>
      </c>
      <c r="BX189" s="18">
        <f t="shared" si="508"/>
        <v>105471494</v>
      </c>
      <c r="BY189" s="18">
        <f t="shared" si="508"/>
        <v>23433323</v>
      </c>
      <c r="BZ189" s="18">
        <f t="shared" si="508"/>
        <v>42322</v>
      </c>
      <c r="CA189" s="18">
        <f t="shared" si="508"/>
        <v>42322</v>
      </c>
      <c r="CB189" s="18">
        <f t="shared" si="508"/>
        <v>42322</v>
      </c>
      <c r="CC189" s="18">
        <f t="shared" si="508"/>
        <v>0</v>
      </c>
      <c r="CD189" s="18">
        <f t="shared" si="508"/>
        <v>42322</v>
      </c>
      <c r="CE189" s="18">
        <f t="shared" si="508"/>
        <v>0</v>
      </c>
      <c r="CF189" s="18">
        <f t="shared" si="508"/>
        <v>0</v>
      </c>
      <c r="CG189" s="18">
        <f t="shared" si="508"/>
        <v>0</v>
      </c>
      <c r="CH189" s="18">
        <f t="shared" si="508"/>
        <v>0</v>
      </c>
      <c r="CI189" s="18">
        <f t="shared" si="508"/>
        <v>0</v>
      </c>
      <c r="CJ189" s="18">
        <f t="shared" ref="CJ189" si="510">SUM(CJ190:CJ196)</f>
        <v>0</v>
      </c>
      <c r="CK189" s="18">
        <f t="shared" si="508"/>
        <v>0</v>
      </c>
      <c r="CL189" s="18">
        <f t="shared" si="508"/>
        <v>0</v>
      </c>
      <c r="CM189" s="18">
        <f t="shared" si="508"/>
        <v>0</v>
      </c>
      <c r="CN189" s="18"/>
      <c r="CO189" s="18">
        <f t="shared" ref="CO189:CV189" si="511">SUM(CO190:CO196)</f>
        <v>0</v>
      </c>
      <c r="CP189" s="74"/>
      <c r="CQ189" s="74"/>
      <c r="CR189" s="74"/>
      <c r="CS189" s="18">
        <f t="shared" si="511"/>
        <v>0</v>
      </c>
      <c r="CT189" s="18">
        <f t="shared" si="511"/>
        <v>0</v>
      </c>
      <c r="CU189" s="18">
        <f t="shared" si="511"/>
        <v>0</v>
      </c>
      <c r="CV189" s="46">
        <f t="shared" si="511"/>
        <v>0</v>
      </c>
      <c r="CW189" s="57"/>
    </row>
    <row r="190" spans="1:101" ht="31.2" x14ac:dyDescent="0.3">
      <c r="A190" s="105" t="s">
        <v>1</v>
      </c>
      <c r="B190" s="21" t="s">
        <v>48</v>
      </c>
      <c r="C190" s="22" t="s">
        <v>491</v>
      </c>
      <c r="D190" s="19">
        <f t="shared" ref="D190:D196" si="512">SUM(E190+BZ190+CS190)</f>
        <v>1411049</v>
      </c>
      <c r="E190" s="19">
        <f t="shared" ref="E190:E196" si="513">SUM(F190+BA190)</f>
        <v>1411049</v>
      </c>
      <c r="F190" s="19">
        <f t="shared" ref="F190:F196" si="514">SUM(G190+H190+I190+P190+S190+T190+U190+AE190+AD190)</f>
        <v>848120</v>
      </c>
      <c r="G190" s="23">
        <v>532230</v>
      </c>
      <c r="H190" s="23">
        <v>129208</v>
      </c>
      <c r="I190" s="19">
        <f t="shared" si="307"/>
        <v>186682</v>
      </c>
      <c r="J190" s="23">
        <v>0</v>
      </c>
      <c r="K190" s="23">
        <v>0</v>
      </c>
      <c r="L190" s="23">
        <v>0</v>
      </c>
      <c r="M190" s="23">
        <v>0</v>
      </c>
      <c r="N190" s="23">
        <v>186682</v>
      </c>
      <c r="O190" s="23">
        <v>0</v>
      </c>
      <c r="P190" s="19">
        <f t="shared" si="308"/>
        <v>0</v>
      </c>
      <c r="Q190" s="23">
        <v>0</v>
      </c>
      <c r="R190" s="23">
        <v>0</v>
      </c>
      <c r="S190" s="23">
        <v>0</v>
      </c>
      <c r="T190" s="23">
        <v>0</v>
      </c>
      <c r="U190" s="19">
        <f t="shared" ref="U190:U196" si="515">SUM(V190:AC190)</f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f t="shared" ref="AE190:AE196" si="516">SUM(AF190:AZ190)</f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0</v>
      </c>
      <c r="AV190" s="19">
        <v>0</v>
      </c>
      <c r="AW190" s="23">
        <v>0</v>
      </c>
      <c r="AX190" s="23">
        <v>0</v>
      </c>
      <c r="AY190" s="23">
        <v>0</v>
      </c>
      <c r="AZ190" s="23">
        <v>0</v>
      </c>
      <c r="BA190" s="19">
        <f t="shared" ref="BA190:BA196" si="517">SUM(BB190+BF190+BI190+BK190+BN190)</f>
        <v>562929</v>
      </c>
      <c r="BB190" s="19">
        <f t="shared" ref="BB190:BB196" si="518">SUM(BC190:BE190)</f>
        <v>0</v>
      </c>
      <c r="BC190" s="19">
        <v>0</v>
      </c>
      <c r="BD190" s="19">
        <v>0</v>
      </c>
      <c r="BE190" s="19">
        <v>0</v>
      </c>
      <c r="BF190" s="19">
        <f t="shared" ref="BF190:BF196" si="519">SUM(BH190:BH190)</f>
        <v>0</v>
      </c>
      <c r="BG190" s="19">
        <v>0</v>
      </c>
      <c r="BH190" s="19">
        <v>0</v>
      </c>
      <c r="BI190" s="19">
        <v>0</v>
      </c>
      <c r="BJ190" s="19">
        <v>0</v>
      </c>
      <c r="BK190" s="19">
        <f t="shared" si="310"/>
        <v>0</v>
      </c>
      <c r="BL190" s="19">
        <v>0</v>
      </c>
      <c r="BM190" s="19">
        <v>0</v>
      </c>
      <c r="BN190" s="19">
        <f t="shared" ref="BN190:BN196" si="520">SUM(BO190:BY190)</f>
        <v>562929</v>
      </c>
      <c r="BO190" s="19">
        <v>0</v>
      </c>
      <c r="BP190" s="19">
        <v>0</v>
      </c>
      <c r="BQ190" s="19">
        <v>0</v>
      </c>
      <c r="BR190" s="19">
        <v>0</v>
      </c>
      <c r="BS190" s="19">
        <v>0</v>
      </c>
      <c r="BT190" s="19">
        <v>0</v>
      </c>
      <c r="BU190" s="19">
        <v>0</v>
      </c>
      <c r="BV190" s="19">
        <v>0</v>
      </c>
      <c r="BW190" s="23">
        <v>0</v>
      </c>
      <c r="BX190" s="23">
        <v>562929</v>
      </c>
      <c r="BY190" s="23">
        <v>0</v>
      </c>
      <c r="BZ190" s="19">
        <f t="shared" ref="BZ190:BZ196" si="521">SUM(CA190+CO190)</f>
        <v>0</v>
      </c>
      <c r="CA190" s="19">
        <f t="shared" ref="CA190:CA196" si="522">SUM(CB190+CE190+CK190)</f>
        <v>0</v>
      </c>
      <c r="CB190" s="19">
        <f t="shared" si="311"/>
        <v>0</v>
      </c>
      <c r="CC190" s="19">
        <v>0</v>
      </c>
      <c r="CD190" s="19">
        <v>0</v>
      </c>
      <c r="CE190" s="19">
        <f t="shared" ref="CE190:CE196" si="523">SUM(CF190:CJ190)</f>
        <v>0</v>
      </c>
      <c r="CF190" s="19">
        <v>0</v>
      </c>
      <c r="CG190" s="19">
        <v>0</v>
      </c>
      <c r="CH190" s="19">
        <v>0</v>
      </c>
      <c r="CI190" s="19">
        <v>0</v>
      </c>
      <c r="CJ190" s="19">
        <v>0</v>
      </c>
      <c r="CK190" s="19">
        <f t="shared" ref="CK190:CK196" si="524">SUM(CL190:CN190)</f>
        <v>0</v>
      </c>
      <c r="CL190" s="19">
        <v>0</v>
      </c>
      <c r="CM190" s="19">
        <v>0</v>
      </c>
      <c r="CN190" s="19"/>
      <c r="CO190" s="19">
        <v>0</v>
      </c>
      <c r="CP190" s="75"/>
      <c r="CQ190" s="75"/>
      <c r="CR190" s="75"/>
      <c r="CS190" s="19">
        <f t="shared" si="313"/>
        <v>0</v>
      </c>
      <c r="CT190" s="19">
        <f t="shared" si="314"/>
        <v>0</v>
      </c>
      <c r="CU190" s="19">
        <v>0</v>
      </c>
      <c r="CV190" s="20">
        <v>0</v>
      </c>
      <c r="CW190" s="52"/>
    </row>
    <row r="191" spans="1:101" ht="31.2" x14ac:dyDescent="0.3">
      <c r="A191" s="105" t="s">
        <v>1</v>
      </c>
      <c r="B191" s="21" t="s">
        <v>45</v>
      </c>
      <c r="C191" s="22" t="s">
        <v>488</v>
      </c>
      <c r="D191" s="19">
        <f t="shared" si="512"/>
        <v>1771500</v>
      </c>
      <c r="E191" s="19">
        <f t="shared" si="513"/>
        <v>1729178</v>
      </c>
      <c r="F191" s="19">
        <f t="shared" si="514"/>
        <v>971336</v>
      </c>
      <c r="G191" s="23">
        <v>534446</v>
      </c>
      <c r="H191" s="23">
        <v>70027</v>
      </c>
      <c r="I191" s="19">
        <f t="shared" si="307"/>
        <v>295030</v>
      </c>
      <c r="J191" s="23">
        <v>0</v>
      </c>
      <c r="K191" s="23">
        <v>0</v>
      </c>
      <c r="L191" s="23">
        <v>0</v>
      </c>
      <c r="M191" s="23">
        <v>0</v>
      </c>
      <c r="N191" s="23">
        <v>295030</v>
      </c>
      <c r="O191" s="23">
        <v>0</v>
      </c>
      <c r="P191" s="19">
        <f t="shared" si="308"/>
        <v>0</v>
      </c>
      <c r="Q191" s="23">
        <v>0</v>
      </c>
      <c r="R191" s="23">
        <v>0</v>
      </c>
      <c r="S191" s="23">
        <v>0</v>
      </c>
      <c r="T191" s="23">
        <v>71833</v>
      </c>
      <c r="U191" s="19">
        <f t="shared" si="515"/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f t="shared" si="516"/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23">
        <v>0</v>
      </c>
      <c r="AX191" s="23">
        <v>0</v>
      </c>
      <c r="AY191" s="23">
        <v>0</v>
      </c>
      <c r="AZ191" s="23">
        <v>0</v>
      </c>
      <c r="BA191" s="19">
        <f t="shared" si="517"/>
        <v>757842</v>
      </c>
      <c r="BB191" s="19">
        <f t="shared" si="518"/>
        <v>0</v>
      </c>
      <c r="BC191" s="19">
        <v>0</v>
      </c>
      <c r="BD191" s="19">
        <v>0</v>
      </c>
      <c r="BE191" s="19">
        <v>0</v>
      </c>
      <c r="BF191" s="19">
        <f t="shared" si="519"/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10"/>
        <v>0</v>
      </c>
      <c r="BL191" s="19">
        <v>0</v>
      </c>
      <c r="BM191" s="19">
        <v>0</v>
      </c>
      <c r="BN191" s="19">
        <f t="shared" si="520"/>
        <v>757842</v>
      </c>
      <c r="BO191" s="19">
        <v>0</v>
      </c>
      <c r="BP191" s="19">
        <v>0</v>
      </c>
      <c r="BQ191" s="19">
        <v>0</v>
      </c>
      <c r="BR191" s="19">
        <v>0</v>
      </c>
      <c r="BS191" s="19">
        <v>0</v>
      </c>
      <c r="BT191" s="19">
        <v>0</v>
      </c>
      <c r="BU191" s="19">
        <v>0</v>
      </c>
      <c r="BV191" s="19">
        <v>0</v>
      </c>
      <c r="BW191" s="23">
        <v>0</v>
      </c>
      <c r="BX191" s="23">
        <v>757842</v>
      </c>
      <c r="BY191" s="23">
        <v>0</v>
      </c>
      <c r="BZ191" s="19">
        <f t="shared" si="521"/>
        <v>42322</v>
      </c>
      <c r="CA191" s="19">
        <f t="shared" si="522"/>
        <v>42322</v>
      </c>
      <c r="CB191" s="19">
        <f t="shared" si="311"/>
        <v>42322</v>
      </c>
      <c r="CC191" s="19">
        <v>0</v>
      </c>
      <c r="CD191" s="23">
        <v>42322</v>
      </c>
      <c r="CE191" s="19">
        <f t="shared" si="523"/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 t="shared" si="524"/>
        <v>0</v>
      </c>
      <c r="CL191" s="19">
        <v>0</v>
      </c>
      <c r="CM191" s="19">
        <v>0</v>
      </c>
      <c r="CN191" s="19"/>
      <c r="CO191" s="19">
        <v>0</v>
      </c>
      <c r="CP191" s="75"/>
      <c r="CQ191" s="75"/>
      <c r="CR191" s="75"/>
      <c r="CS191" s="19">
        <f t="shared" si="313"/>
        <v>0</v>
      </c>
      <c r="CT191" s="19">
        <f t="shared" si="314"/>
        <v>0</v>
      </c>
      <c r="CU191" s="19">
        <v>0</v>
      </c>
      <c r="CV191" s="20">
        <v>0</v>
      </c>
      <c r="CW191" s="52"/>
    </row>
    <row r="192" spans="1:101" ht="31.2" x14ac:dyDescent="0.3">
      <c r="A192" s="105" t="s">
        <v>1</v>
      </c>
      <c r="B192" s="21" t="s">
        <v>56</v>
      </c>
      <c r="C192" s="22" t="s">
        <v>489</v>
      </c>
      <c r="D192" s="19">
        <f t="shared" si="512"/>
        <v>53786269</v>
      </c>
      <c r="E192" s="19">
        <f t="shared" si="513"/>
        <v>53786269</v>
      </c>
      <c r="F192" s="19">
        <f t="shared" si="514"/>
        <v>17055522</v>
      </c>
      <c r="G192" s="23">
        <v>0</v>
      </c>
      <c r="H192" s="23">
        <v>0</v>
      </c>
      <c r="I192" s="19">
        <f>SUM(J192:O192)</f>
        <v>2261885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2261885</v>
      </c>
      <c r="P192" s="19">
        <f>SUM(Q192:R192)</f>
        <v>0</v>
      </c>
      <c r="Q192" s="23">
        <v>0</v>
      </c>
      <c r="R192" s="23">
        <v>0</v>
      </c>
      <c r="S192" s="23">
        <v>0</v>
      </c>
      <c r="T192" s="23">
        <v>0</v>
      </c>
      <c r="U192" s="19">
        <f t="shared" si="515"/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f t="shared" si="516"/>
        <v>14793637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14508006</v>
      </c>
      <c r="AW192" s="23">
        <v>0</v>
      </c>
      <c r="AX192" s="23">
        <v>0</v>
      </c>
      <c r="AY192" s="23">
        <v>0</v>
      </c>
      <c r="AZ192" s="23">
        <v>285631</v>
      </c>
      <c r="BA192" s="19">
        <f t="shared" si="517"/>
        <v>36730747</v>
      </c>
      <c r="BB192" s="19">
        <f t="shared" si="518"/>
        <v>0</v>
      </c>
      <c r="BC192" s="19">
        <v>0</v>
      </c>
      <c r="BD192" s="19">
        <v>0</v>
      </c>
      <c r="BE192" s="19">
        <v>0</v>
      </c>
      <c r="BF192" s="19">
        <f t="shared" si="519"/>
        <v>0</v>
      </c>
      <c r="BG192" s="19">
        <v>0</v>
      </c>
      <c r="BH192" s="19">
        <v>0</v>
      </c>
      <c r="BI192" s="19">
        <v>0</v>
      </c>
      <c r="BJ192" s="19">
        <v>0</v>
      </c>
      <c r="BK192" s="19">
        <f>SUM(BL192)</f>
        <v>0</v>
      </c>
      <c r="BL192" s="19">
        <v>0</v>
      </c>
      <c r="BM192" s="19">
        <v>0</v>
      </c>
      <c r="BN192" s="19">
        <f t="shared" si="520"/>
        <v>36730747</v>
      </c>
      <c r="BO192" s="19">
        <v>0</v>
      </c>
      <c r="BP192" s="19">
        <v>0</v>
      </c>
      <c r="BQ192" s="19">
        <v>0</v>
      </c>
      <c r="BR192" s="19">
        <v>0</v>
      </c>
      <c r="BS192" s="19">
        <v>0</v>
      </c>
      <c r="BT192" s="19">
        <v>0</v>
      </c>
      <c r="BU192" s="19">
        <v>0</v>
      </c>
      <c r="BV192" s="19">
        <v>1763250</v>
      </c>
      <c r="BW192" s="23">
        <v>286944</v>
      </c>
      <c r="BX192" s="23">
        <v>12069210</v>
      </c>
      <c r="BY192" s="23">
        <v>22611343</v>
      </c>
      <c r="BZ192" s="19">
        <f t="shared" si="521"/>
        <v>0</v>
      </c>
      <c r="CA192" s="19">
        <f t="shared" si="522"/>
        <v>0</v>
      </c>
      <c r="CB192" s="19">
        <f>SUM(CC192:CD192)</f>
        <v>0</v>
      </c>
      <c r="CC192" s="19">
        <v>0</v>
      </c>
      <c r="CD192" s="19"/>
      <c r="CE192" s="19">
        <f t="shared" si="523"/>
        <v>0</v>
      </c>
      <c r="CF192" s="19">
        <v>0</v>
      </c>
      <c r="CG192" s="19">
        <v>0</v>
      </c>
      <c r="CH192" s="19">
        <v>0</v>
      </c>
      <c r="CI192" s="19">
        <v>0</v>
      </c>
      <c r="CJ192" s="19">
        <v>0</v>
      </c>
      <c r="CK192" s="19">
        <f t="shared" si="524"/>
        <v>0</v>
      </c>
      <c r="CL192" s="19">
        <v>0</v>
      </c>
      <c r="CM192" s="19">
        <v>0</v>
      </c>
      <c r="CN192" s="19"/>
      <c r="CO192" s="19">
        <v>0</v>
      </c>
      <c r="CP192" s="75"/>
      <c r="CQ192" s="75"/>
      <c r="CR192" s="75"/>
      <c r="CS192" s="19">
        <f>SUM(CT192)</f>
        <v>0</v>
      </c>
      <c r="CT192" s="19">
        <f>SUM(CU192:CV192)</f>
        <v>0</v>
      </c>
      <c r="CU192" s="19">
        <v>0</v>
      </c>
      <c r="CV192" s="20">
        <v>0</v>
      </c>
      <c r="CW192" s="52"/>
    </row>
    <row r="193" spans="1:101" ht="15.6" x14ac:dyDescent="0.3">
      <c r="A193" s="105" t="s">
        <v>1</v>
      </c>
      <c r="B193" s="21" t="s">
        <v>56</v>
      </c>
      <c r="C193" s="22" t="s">
        <v>490</v>
      </c>
      <c r="D193" s="19">
        <f t="shared" si="512"/>
        <v>87191792</v>
      </c>
      <c r="E193" s="19">
        <f t="shared" si="513"/>
        <v>87191792</v>
      </c>
      <c r="F193" s="19">
        <f t="shared" si="514"/>
        <v>0</v>
      </c>
      <c r="G193" s="23">
        <v>0</v>
      </c>
      <c r="H193" s="23">
        <v>0</v>
      </c>
      <c r="I193" s="19">
        <f t="shared" si="307"/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19">
        <f t="shared" si="308"/>
        <v>0</v>
      </c>
      <c r="Q193" s="23">
        <v>0</v>
      </c>
      <c r="R193" s="23">
        <v>0</v>
      </c>
      <c r="S193" s="23">
        <v>0</v>
      </c>
      <c r="T193" s="23">
        <v>0</v>
      </c>
      <c r="U193" s="19">
        <f t="shared" si="515"/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f t="shared" si="516"/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23">
        <v>0</v>
      </c>
      <c r="AX193" s="23">
        <v>0</v>
      </c>
      <c r="AY193" s="23">
        <v>0</v>
      </c>
      <c r="AZ193" s="23">
        <v>0</v>
      </c>
      <c r="BA193" s="19">
        <f t="shared" si="517"/>
        <v>87191792</v>
      </c>
      <c r="BB193" s="19">
        <f t="shared" si="518"/>
        <v>0</v>
      </c>
      <c r="BC193" s="19">
        <v>0</v>
      </c>
      <c r="BD193" s="19">
        <v>0</v>
      </c>
      <c r="BE193" s="19">
        <v>0</v>
      </c>
      <c r="BF193" s="19">
        <f t="shared" si="519"/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10"/>
        <v>0</v>
      </c>
      <c r="BL193" s="19">
        <v>0</v>
      </c>
      <c r="BM193" s="19">
        <v>0</v>
      </c>
      <c r="BN193" s="19">
        <f t="shared" si="520"/>
        <v>87191792</v>
      </c>
      <c r="BO193" s="19">
        <v>0</v>
      </c>
      <c r="BP193" s="19">
        <v>0</v>
      </c>
      <c r="BQ193" s="19">
        <v>0</v>
      </c>
      <c r="BR193" s="19">
        <v>0</v>
      </c>
      <c r="BS193" s="19">
        <v>0</v>
      </c>
      <c r="BT193" s="19">
        <v>0</v>
      </c>
      <c r="BU193" s="19">
        <v>0</v>
      </c>
      <c r="BV193" s="19">
        <v>0</v>
      </c>
      <c r="BW193" s="23">
        <v>0</v>
      </c>
      <c r="BX193" s="23">
        <f>64134157+22635595</f>
        <v>86769752</v>
      </c>
      <c r="BY193" s="23">
        <v>422040</v>
      </c>
      <c r="BZ193" s="19">
        <f t="shared" si="521"/>
        <v>0</v>
      </c>
      <c r="CA193" s="19">
        <f t="shared" si="522"/>
        <v>0</v>
      </c>
      <c r="CB193" s="19">
        <f t="shared" si="311"/>
        <v>0</v>
      </c>
      <c r="CC193" s="19">
        <v>0</v>
      </c>
      <c r="CD193" s="19">
        <v>0</v>
      </c>
      <c r="CE193" s="19">
        <f t="shared" si="523"/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 t="shared" si="524"/>
        <v>0</v>
      </c>
      <c r="CL193" s="19">
        <v>0</v>
      </c>
      <c r="CM193" s="19">
        <v>0</v>
      </c>
      <c r="CN193" s="19"/>
      <c r="CO193" s="19">
        <v>0</v>
      </c>
      <c r="CP193" s="75"/>
      <c r="CQ193" s="75"/>
      <c r="CR193" s="75"/>
      <c r="CS193" s="19">
        <f t="shared" si="313"/>
        <v>0</v>
      </c>
      <c r="CT193" s="19">
        <f t="shared" si="314"/>
        <v>0</v>
      </c>
      <c r="CU193" s="19">
        <v>0</v>
      </c>
      <c r="CV193" s="20">
        <v>0</v>
      </c>
      <c r="CW193" s="52"/>
    </row>
    <row r="194" spans="1:101" ht="31.2" x14ac:dyDescent="0.3">
      <c r="A194" s="105" t="s">
        <v>1</v>
      </c>
      <c r="B194" s="21" t="s">
        <v>56</v>
      </c>
      <c r="C194" s="22" t="s">
        <v>269</v>
      </c>
      <c r="D194" s="19">
        <f t="shared" si="512"/>
        <v>5311761</v>
      </c>
      <c r="E194" s="19">
        <f t="shared" si="513"/>
        <v>5311761</v>
      </c>
      <c r="F194" s="19">
        <f t="shared" si="514"/>
        <v>0</v>
      </c>
      <c r="G194" s="23">
        <v>0</v>
      </c>
      <c r="H194" s="23">
        <v>0</v>
      </c>
      <c r="I194" s="19">
        <f>SUM(J194:O194)</f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19">
        <f>SUM(Q194:R194)</f>
        <v>0</v>
      </c>
      <c r="Q194" s="23">
        <v>0</v>
      </c>
      <c r="R194" s="23">
        <v>0</v>
      </c>
      <c r="S194" s="23">
        <v>0</v>
      </c>
      <c r="T194" s="23">
        <v>0</v>
      </c>
      <c r="U194" s="19">
        <f t="shared" si="515"/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f t="shared" si="516"/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23">
        <v>0</v>
      </c>
      <c r="AX194" s="23">
        <v>0</v>
      </c>
      <c r="AY194" s="23">
        <v>0</v>
      </c>
      <c r="AZ194" s="23">
        <v>0</v>
      </c>
      <c r="BA194" s="19">
        <f t="shared" si="517"/>
        <v>5311761</v>
      </c>
      <c r="BB194" s="19">
        <f t="shared" si="518"/>
        <v>0</v>
      </c>
      <c r="BC194" s="19">
        <v>0</v>
      </c>
      <c r="BD194" s="19">
        <v>0</v>
      </c>
      <c r="BE194" s="19">
        <v>0</v>
      </c>
      <c r="BF194" s="19">
        <f t="shared" si="519"/>
        <v>0</v>
      </c>
      <c r="BG194" s="19">
        <v>0</v>
      </c>
      <c r="BH194" s="19">
        <v>0</v>
      </c>
      <c r="BI194" s="19">
        <v>0</v>
      </c>
      <c r="BJ194" s="19">
        <v>0</v>
      </c>
      <c r="BK194" s="19">
        <f>SUM(BL194)</f>
        <v>0</v>
      </c>
      <c r="BL194" s="19">
        <v>0</v>
      </c>
      <c r="BM194" s="19">
        <v>0</v>
      </c>
      <c r="BN194" s="19">
        <f t="shared" si="520"/>
        <v>5311761</v>
      </c>
      <c r="BO194" s="19">
        <v>0</v>
      </c>
      <c r="BP194" s="19">
        <v>0</v>
      </c>
      <c r="BQ194" s="19">
        <v>0</v>
      </c>
      <c r="BR194" s="19">
        <v>0</v>
      </c>
      <c r="BS194" s="19">
        <v>0</v>
      </c>
      <c r="BT194" s="19">
        <v>0</v>
      </c>
      <c r="BU194" s="19">
        <v>0</v>
      </c>
      <c r="BV194" s="19">
        <v>0</v>
      </c>
      <c r="BW194" s="23">
        <v>0</v>
      </c>
      <c r="BX194" s="23">
        <v>5311761</v>
      </c>
      <c r="BY194" s="23">
        <v>0</v>
      </c>
      <c r="BZ194" s="19">
        <f t="shared" si="521"/>
        <v>0</v>
      </c>
      <c r="CA194" s="19">
        <f t="shared" si="522"/>
        <v>0</v>
      </c>
      <c r="CB194" s="19">
        <f>SUM(CC194:CD194)</f>
        <v>0</v>
      </c>
      <c r="CC194" s="19">
        <v>0</v>
      </c>
      <c r="CD194" s="19">
        <v>0</v>
      </c>
      <c r="CE194" s="19">
        <f t="shared" si="523"/>
        <v>0</v>
      </c>
      <c r="CF194" s="19">
        <v>0</v>
      </c>
      <c r="CG194" s="19">
        <v>0</v>
      </c>
      <c r="CH194" s="19">
        <v>0</v>
      </c>
      <c r="CI194" s="19">
        <v>0</v>
      </c>
      <c r="CJ194" s="19">
        <v>0</v>
      </c>
      <c r="CK194" s="19">
        <f t="shared" si="524"/>
        <v>0</v>
      </c>
      <c r="CL194" s="19">
        <v>0</v>
      </c>
      <c r="CM194" s="19">
        <v>0</v>
      </c>
      <c r="CN194" s="19"/>
      <c r="CO194" s="19">
        <v>0</v>
      </c>
      <c r="CP194" s="75"/>
      <c r="CQ194" s="75"/>
      <c r="CR194" s="75"/>
      <c r="CS194" s="19">
        <f>SUM(CT194)</f>
        <v>0</v>
      </c>
      <c r="CT194" s="19">
        <f>SUM(CU194:CV194)</f>
        <v>0</v>
      </c>
      <c r="CU194" s="19">
        <v>0</v>
      </c>
      <c r="CV194" s="20">
        <v>0</v>
      </c>
      <c r="CW194" s="52"/>
    </row>
    <row r="195" spans="1:101" ht="15.6" x14ac:dyDescent="0.3">
      <c r="A195" s="105" t="s">
        <v>1</v>
      </c>
      <c r="B195" s="21" t="s">
        <v>56</v>
      </c>
      <c r="C195" s="22" t="s">
        <v>270</v>
      </c>
      <c r="D195" s="19">
        <f t="shared" si="512"/>
        <v>399940</v>
      </c>
      <c r="E195" s="19">
        <f t="shared" si="513"/>
        <v>399940</v>
      </c>
      <c r="F195" s="19">
        <f t="shared" si="514"/>
        <v>0</v>
      </c>
      <c r="G195" s="23">
        <v>0</v>
      </c>
      <c r="H195" s="23">
        <v>0</v>
      </c>
      <c r="I195" s="19">
        <f>SUM(J195:O195)</f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19">
        <f>SUM(Q195:R195)</f>
        <v>0</v>
      </c>
      <c r="Q195" s="23">
        <v>0</v>
      </c>
      <c r="R195" s="23">
        <v>0</v>
      </c>
      <c r="S195" s="23">
        <v>0</v>
      </c>
      <c r="T195" s="23">
        <v>0</v>
      </c>
      <c r="U195" s="19">
        <f t="shared" si="515"/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f t="shared" si="516"/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23"/>
      <c r="AX195" s="23">
        <v>0</v>
      </c>
      <c r="AY195" s="23">
        <v>0</v>
      </c>
      <c r="AZ195" s="23">
        <v>0</v>
      </c>
      <c r="BA195" s="19">
        <f t="shared" si="517"/>
        <v>399940</v>
      </c>
      <c r="BB195" s="19">
        <f t="shared" si="518"/>
        <v>0</v>
      </c>
      <c r="BC195" s="19">
        <v>0</v>
      </c>
      <c r="BD195" s="19">
        <v>0</v>
      </c>
      <c r="BE195" s="19">
        <v>0</v>
      </c>
      <c r="BF195" s="19">
        <f t="shared" si="519"/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>SUM(BL195)</f>
        <v>0</v>
      </c>
      <c r="BL195" s="19">
        <v>0</v>
      </c>
      <c r="BM195" s="19">
        <v>0</v>
      </c>
      <c r="BN195" s="19">
        <f t="shared" si="520"/>
        <v>399940</v>
      </c>
      <c r="BO195" s="19">
        <v>0</v>
      </c>
      <c r="BP195" s="19">
        <v>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23">
        <v>0</v>
      </c>
      <c r="BX195" s="23">
        <v>0</v>
      </c>
      <c r="BY195" s="23">
        <v>399940</v>
      </c>
      <c r="BZ195" s="19">
        <f t="shared" si="521"/>
        <v>0</v>
      </c>
      <c r="CA195" s="19">
        <f t="shared" si="522"/>
        <v>0</v>
      </c>
      <c r="CB195" s="19">
        <f>SUM(CC195:CD195)</f>
        <v>0</v>
      </c>
      <c r="CC195" s="19">
        <v>0</v>
      </c>
      <c r="CD195" s="19">
        <v>0</v>
      </c>
      <c r="CE195" s="19">
        <f t="shared" si="523"/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 t="shared" si="524"/>
        <v>0</v>
      </c>
      <c r="CL195" s="19">
        <v>0</v>
      </c>
      <c r="CM195" s="19">
        <v>0</v>
      </c>
      <c r="CN195" s="19"/>
      <c r="CO195" s="19">
        <v>0</v>
      </c>
      <c r="CP195" s="75"/>
      <c r="CQ195" s="75"/>
      <c r="CR195" s="75"/>
      <c r="CS195" s="19">
        <f>SUM(CT195)</f>
        <v>0</v>
      </c>
      <c r="CT195" s="19">
        <f>SUM(CU195:CV195)</f>
        <v>0</v>
      </c>
      <c r="CU195" s="19">
        <v>0</v>
      </c>
      <c r="CV195" s="20">
        <v>0</v>
      </c>
      <c r="CW195" s="52"/>
    </row>
    <row r="196" spans="1:101" s="58" customFormat="1" ht="15.6" x14ac:dyDescent="0.3">
      <c r="A196" s="105" t="s">
        <v>1</v>
      </c>
      <c r="B196" s="21" t="s">
        <v>152</v>
      </c>
      <c r="C196" s="22" t="s">
        <v>153</v>
      </c>
      <c r="D196" s="19">
        <f t="shared" si="512"/>
        <v>870988</v>
      </c>
      <c r="E196" s="19">
        <f t="shared" si="513"/>
        <v>870988</v>
      </c>
      <c r="F196" s="19">
        <f t="shared" si="514"/>
        <v>870988</v>
      </c>
      <c r="G196" s="23">
        <v>840121</v>
      </c>
      <c r="H196" s="23">
        <v>0</v>
      </c>
      <c r="I196" s="19">
        <f t="shared" ref="I196" si="525">SUM(J196:O196)</f>
        <v>7500</v>
      </c>
      <c r="J196" s="23">
        <v>0</v>
      </c>
      <c r="K196" s="23">
        <v>7500</v>
      </c>
      <c r="L196" s="23">
        <v>0</v>
      </c>
      <c r="M196" s="23">
        <v>0</v>
      </c>
      <c r="N196" s="23">
        <v>0</v>
      </c>
      <c r="O196" s="23">
        <v>0</v>
      </c>
      <c r="P196" s="19">
        <f t="shared" ref="P196" si="526">SUM(Q196:R196)</f>
        <v>0</v>
      </c>
      <c r="Q196" s="23">
        <v>0</v>
      </c>
      <c r="R196" s="23">
        <v>0</v>
      </c>
      <c r="S196" s="23">
        <v>0</v>
      </c>
      <c r="T196" s="23">
        <v>0</v>
      </c>
      <c r="U196" s="19">
        <f t="shared" si="515"/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f t="shared" si="516"/>
        <v>23367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23">
        <v>23367</v>
      </c>
      <c r="AX196" s="23">
        <v>0</v>
      </c>
      <c r="AY196" s="23">
        <v>0</v>
      </c>
      <c r="AZ196" s="23">
        <v>0</v>
      </c>
      <c r="BA196" s="19">
        <f t="shared" si="517"/>
        <v>0</v>
      </c>
      <c r="BB196" s="19">
        <f t="shared" si="518"/>
        <v>0</v>
      </c>
      <c r="BC196" s="19">
        <v>0</v>
      </c>
      <c r="BD196" s="19">
        <v>0</v>
      </c>
      <c r="BE196" s="19">
        <v>0</v>
      </c>
      <c r="BF196" s="19">
        <f t="shared" si="519"/>
        <v>0</v>
      </c>
      <c r="BG196" s="19">
        <v>0</v>
      </c>
      <c r="BH196" s="19">
        <v>0</v>
      </c>
      <c r="BI196" s="19">
        <v>0</v>
      </c>
      <c r="BJ196" s="19">
        <v>0</v>
      </c>
      <c r="BK196" s="19">
        <f t="shared" ref="BK196" si="527">SUM(BL196)</f>
        <v>0</v>
      </c>
      <c r="BL196" s="19">
        <v>0</v>
      </c>
      <c r="BM196" s="19">
        <v>0</v>
      </c>
      <c r="BN196" s="19">
        <f t="shared" si="520"/>
        <v>0</v>
      </c>
      <c r="BO196" s="19">
        <v>0</v>
      </c>
      <c r="BP196" s="19">
        <v>0</v>
      </c>
      <c r="BQ196" s="19">
        <v>0</v>
      </c>
      <c r="BR196" s="19">
        <v>0</v>
      </c>
      <c r="BS196" s="19">
        <v>0</v>
      </c>
      <c r="BT196" s="19">
        <v>0</v>
      </c>
      <c r="BU196" s="19">
        <v>0</v>
      </c>
      <c r="BV196" s="19">
        <v>0</v>
      </c>
      <c r="BW196" s="23">
        <v>0</v>
      </c>
      <c r="BX196" s="23">
        <v>0</v>
      </c>
      <c r="BY196" s="23">
        <v>0</v>
      </c>
      <c r="BZ196" s="19">
        <f t="shared" si="521"/>
        <v>0</v>
      </c>
      <c r="CA196" s="19">
        <f t="shared" si="522"/>
        <v>0</v>
      </c>
      <c r="CB196" s="19">
        <f t="shared" ref="CB196" si="528">SUM(CC196:CD196)</f>
        <v>0</v>
      </c>
      <c r="CC196" s="19">
        <v>0</v>
      </c>
      <c r="CD196" s="19"/>
      <c r="CE196" s="19">
        <f t="shared" si="523"/>
        <v>0</v>
      </c>
      <c r="CF196" s="19">
        <v>0</v>
      </c>
      <c r="CG196" s="19">
        <v>0</v>
      </c>
      <c r="CH196" s="19">
        <v>0</v>
      </c>
      <c r="CI196" s="19">
        <v>0</v>
      </c>
      <c r="CJ196" s="19">
        <v>0</v>
      </c>
      <c r="CK196" s="19">
        <f t="shared" si="524"/>
        <v>0</v>
      </c>
      <c r="CL196" s="19">
        <v>0</v>
      </c>
      <c r="CM196" s="19">
        <v>0</v>
      </c>
      <c r="CN196" s="19"/>
      <c r="CO196" s="19">
        <v>0</v>
      </c>
      <c r="CP196" s="75"/>
      <c r="CQ196" s="75"/>
      <c r="CR196" s="75"/>
      <c r="CS196" s="19">
        <f t="shared" ref="CS196" si="529">SUM(CT196)</f>
        <v>0</v>
      </c>
      <c r="CT196" s="19">
        <f t="shared" ref="CT196" si="530">SUM(CU196:CV196)</f>
        <v>0</v>
      </c>
      <c r="CU196" s="19">
        <v>0</v>
      </c>
      <c r="CV196" s="20">
        <v>0</v>
      </c>
      <c r="CW196" s="52"/>
    </row>
    <row r="197" spans="1:101" ht="31.2" x14ac:dyDescent="0.3">
      <c r="A197" s="104" t="s">
        <v>272</v>
      </c>
      <c r="B197" s="16" t="s">
        <v>1</v>
      </c>
      <c r="C197" s="17" t="s">
        <v>332</v>
      </c>
      <c r="D197" s="18">
        <f t="shared" ref="D197:AS197" si="531">SUM(D198:D207)</f>
        <v>196495973</v>
      </c>
      <c r="E197" s="18">
        <f t="shared" si="531"/>
        <v>196495973</v>
      </c>
      <c r="F197" s="18">
        <f t="shared" si="531"/>
        <v>196495973</v>
      </c>
      <c r="G197" s="18">
        <f t="shared" si="531"/>
        <v>0</v>
      </c>
      <c r="H197" s="18">
        <f t="shared" si="531"/>
        <v>0</v>
      </c>
      <c r="I197" s="18">
        <f t="shared" si="531"/>
        <v>0</v>
      </c>
      <c r="J197" s="18">
        <f t="shared" si="531"/>
        <v>0</v>
      </c>
      <c r="K197" s="18">
        <f t="shared" si="531"/>
        <v>0</v>
      </c>
      <c r="L197" s="18">
        <f t="shared" si="531"/>
        <v>0</v>
      </c>
      <c r="M197" s="18">
        <f t="shared" si="531"/>
        <v>0</v>
      </c>
      <c r="N197" s="18">
        <f t="shared" si="531"/>
        <v>0</v>
      </c>
      <c r="O197" s="18">
        <f t="shared" si="531"/>
        <v>0</v>
      </c>
      <c r="P197" s="18">
        <f t="shared" si="531"/>
        <v>0</v>
      </c>
      <c r="Q197" s="18">
        <f t="shared" si="531"/>
        <v>0</v>
      </c>
      <c r="R197" s="18">
        <f t="shared" si="531"/>
        <v>0</v>
      </c>
      <c r="S197" s="18">
        <f t="shared" si="531"/>
        <v>0</v>
      </c>
      <c r="T197" s="18">
        <f t="shared" si="531"/>
        <v>0</v>
      </c>
      <c r="U197" s="18">
        <f t="shared" si="531"/>
        <v>196495973</v>
      </c>
      <c r="V197" s="18">
        <f t="shared" si="531"/>
        <v>0</v>
      </c>
      <c r="W197" s="18">
        <f t="shared" si="531"/>
        <v>0</v>
      </c>
      <c r="X197" s="18">
        <f t="shared" si="531"/>
        <v>0</v>
      </c>
      <c r="Y197" s="18">
        <f t="shared" si="531"/>
        <v>0</v>
      </c>
      <c r="Z197" s="18">
        <f t="shared" si="531"/>
        <v>0</v>
      </c>
      <c r="AA197" s="18">
        <f t="shared" si="531"/>
        <v>0</v>
      </c>
      <c r="AB197" s="18">
        <f t="shared" si="531"/>
        <v>196495973</v>
      </c>
      <c r="AC197" s="18">
        <f t="shared" si="531"/>
        <v>0</v>
      </c>
      <c r="AD197" s="18">
        <f t="shared" si="531"/>
        <v>0</v>
      </c>
      <c r="AE197" s="18">
        <f t="shared" si="531"/>
        <v>0</v>
      </c>
      <c r="AF197" s="18">
        <f t="shared" si="531"/>
        <v>0</v>
      </c>
      <c r="AG197" s="18">
        <f t="shared" si="531"/>
        <v>0</v>
      </c>
      <c r="AH197" s="18">
        <f t="shared" si="531"/>
        <v>0</v>
      </c>
      <c r="AI197" s="18">
        <f t="shared" si="531"/>
        <v>0</v>
      </c>
      <c r="AJ197" s="18">
        <f t="shared" si="531"/>
        <v>0</v>
      </c>
      <c r="AK197" s="18">
        <f t="shared" si="531"/>
        <v>0</v>
      </c>
      <c r="AL197" s="18">
        <f t="shared" si="531"/>
        <v>0</v>
      </c>
      <c r="AM197" s="18">
        <f t="shared" si="531"/>
        <v>0</v>
      </c>
      <c r="AN197" s="18">
        <f t="shared" si="531"/>
        <v>0</v>
      </c>
      <c r="AO197" s="18">
        <f t="shared" si="531"/>
        <v>0</v>
      </c>
      <c r="AP197" s="18">
        <f t="shared" si="531"/>
        <v>0</v>
      </c>
      <c r="AQ197" s="18">
        <f t="shared" si="531"/>
        <v>0</v>
      </c>
      <c r="AR197" s="18">
        <f t="shared" si="531"/>
        <v>0</v>
      </c>
      <c r="AS197" s="18">
        <f t="shared" si="531"/>
        <v>0</v>
      </c>
      <c r="AT197" s="18"/>
      <c r="AU197" s="18"/>
      <c r="AV197" s="18">
        <f>SUM(AV198:AV207)</f>
        <v>0</v>
      </c>
      <c r="AW197" s="18">
        <f>SUM(AW198:AW207)</f>
        <v>0</v>
      </c>
      <c r="AX197" s="18">
        <f>SUM(AX198:AX207)</f>
        <v>0</v>
      </c>
      <c r="AY197" s="18"/>
      <c r="AZ197" s="18">
        <f t="shared" ref="AZ197:CM197" si="532">SUM(AZ198:AZ207)</f>
        <v>0</v>
      </c>
      <c r="BA197" s="18">
        <f t="shared" si="532"/>
        <v>0</v>
      </c>
      <c r="BB197" s="18">
        <f t="shared" si="532"/>
        <v>0</v>
      </c>
      <c r="BC197" s="18">
        <f t="shared" si="532"/>
        <v>0</v>
      </c>
      <c r="BD197" s="18">
        <f t="shared" si="532"/>
        <v>0</v>
      </c>
      <c r="BE197" s="18">
        <f t="shared" si="532"/>
        <v>0</v>
      </c>
      <c r="BF197" s="18">
        <f t="shared" si="532"/>
        <v>0</v>
      </c>
      <c r="BG197" s="18">
        <f t="shared" si="532"/>
        <v>0</v>
      </c>
      <c r="BH197" s="18">
        <f t="shared" si="532"/>
        <v>0</v>
      </c>
      <c r="BI197" s="18">
        <f t="shared" si="532"/>
        <v>0</v>
      </c>
      <c r="BJ197" s="18">
        <f t="shared" ref="BJ197" si="533">SUM(BJ198:BJ207)</f>
        <v>0</v>
      </c>
      <c r="BK197" s="18">
        <f t="shared" si="532"/>
        <v>0</v>
      </c>
      <c r="BL197" s="18">
        <f t="shared" si="532"/>
        <v>0</v>
      </c>
      <c r="BM197" s="18">
        <f t="shared" si="532"/>
        <v>0</v>
      </c>
      <c r="BN197" s="18">
        <f t="shared" si="532"/>
        <v>0</v>
      </c>
      <c r="BO197" s="18">
        <f t="shared" si="532"/>
        <v>0</v>
      </c>
      <c r="BP197" s="18">
        <f t="shared" si="532"/>
        <v>0</v>
      </c>
      <c r="BQ197" s="18">
        <f t="shared" si="532"/>
        <v>0</v>
      </c>
      <c r="BR197" s="18">
        <f t="shared" si="532"/>
        <v>0</v>
      </c>
      <c r="BS197" s="18">
        <f t="shared" si="532"/>
        <v>0</v>
      </c>
      <c r="BT197" s="18">
        <f t="shared" si="532"/>
        <v>0</v>
      </c>
      <c r="BU197" s="18">
        <f t="shared" si="532"/>
        <v>0</v>
      </c>
      <c r="BV197" s="18">
        <f t="shared" si="532"/>
        <v>0</v>
      </c>
      <c r="BW197" s="18">
        <f t="shared" si="532"/>
        <v>0</v>
      </c>
      <c r="BX197" s="18">
        <f t="shared" si="532"/>
        <v>0</v>
      </c>
      <c r="BY197" s="18">
        <f t="shared" si="532"/>
        <v>0</v>
      </c>
      <c r="BZ197" s="18">
        <f t="shared" si="532"/>
        <v>0</v>
      </c>
      <c r="CA197" s="18">
        <f t="shared" si="532"/>
        <v>0</v>
      </c>
      <c r="CB197" s="18">
        <f t="shared" si="532"/>
        <v>0</v>
      </c>
      <c r="CC197" s="18">
        <f t="shared" si="532"/>
        <v>0</v>
      </c>
      <c r="CD197" s="18">
        <f t="shared" si="532"/>
        <v>0</v>
      </c>
      <c r="CE197" s="18">
        <f t="shared" si="532"/>
        <v>0</v>
      </c>
      <c r="CF197" s="18">
        <f t="shared" si="532"/>
        <v>0</v>
      </c>
      <c r="CG197" s="18">
        <f t="shared" si="532"/>
        <v>0</v>
      </c>
      <c r="CH197" s="18">
        <f t="shared" si="532"/>
        <v>0</v>
      </c>
      <c r="CI197" s="18">
        <f t="shared" si="532"/>
        <v>0</v>
      </c>
      <c r="CJ197" s="18">
        <f t="shared" ref="CJ197" si="534">SUM(CJ198:CJ207)</f>
        <v>0</v>
      </c>
      <c r="CK197" s="18">
        <f t="shared" si="532"/>
        <v>0</v>
      </c>
      <c r="CL197" s="18">
        <f t="shared" si="532"/>
        <v>0</v>
      </c>
      <c r="CM197" s="18">
        <f t="shared" si="532"/>
        <v>0</v>
      </c>
      <c r="CN197" s="18"/>
      <c r="CO197" s="18">
        <f t="shared" ref="CO197:CV197" si="535">SUM(CO198:CO207)</f>
        <v>0</v>
      </c>
      <c r="CP197" s="74"/>
      <c r="CQ197" s="74"/>
      <c r="CR197" s="74"/>
      <c r="CS197" s="18">
        <f t="shared" si="535"/>
        <v>0</v>
      </c>
      <c r="CT197" s="18">
        <f t="shared" si="535"/>
        <v>0</v>
      </c>
      <c r="CU197" s="18">
        <f t="shared" si="535"/>
        <v>0</v>
      </c>
      <c r="CV197" s="46">
        <f t="shared" si="535"/>
        <v>0</v>
      </c>
      <c r="CW197" s="57"/>
    </row>
    <row r="198" spans="1:101" ht="31.2" x14ac:dyDescent="0.3">
      <c r="A198" s="105" t="s">
        <v>1</v>
      </c>
      <c r="B198" s="34" t="s">
        <v>54</v>
      </c>
      <c r="C198" s="31" t="s">
        <v>555</v>
      </c>
      <c r="D198" s="19">
        <f t="shared" ref="D198:D207" si="536">SUM(E198+BZ198+CS198)</f>
        <v>168450297</v>
      </c>
      <c r="E198" s="19">
        <f t="shared" ref="E198:E207" si="537">SUM(F198+BA198)</f>
        <v>168450297</v>
      </c>
      <c r="F198" s="19">
        <f t="shared" ref="F198:F207" si="538">SUM(G198+H198+I198+P198+S198+T198+U198+AE198+AD198)</f>
        <v>168450297</v>
      </c>
      <c r="G198" s="19">
        <v>0</v>
      </c>
      <c r="H198" s="19">
        <v>0</v>
      </c>
      <c r="I198" s="19">
        <f t="shared" ref="I198:I207" si="539">SUM(J198:O198)</f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f t="shared" ref="P198:P207" si="540">SUM(Q198:R198)</f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f t="shared" ref="U198:U207" si="541">SUM(V198:AC198)</f>
        <v>168450297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23">
        <f>84016776+84433521</f>
        <v>168450297</v>
      </c>
      <c r="AC198" s="19">
        <v>0</v>
      </c>
      <c r="AD198" s="19">
        <v>0</v>
      </c>
      <c r="AE198" s="19">
        <f t="shared" ref="AE198:AE207" si="542">SUM(AF198:AZ198)</f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/>
      <c r="AU198" s="19"/>
      <c r="AV198" s="19">
        <v>0</v>
      </c>
      <c r="AW198" s="19">
        <v>0</v>
      </c>
      <c r="AX198" s="19">
        <v>0</v>
      </c>
      <c r="AY198" s="19"/>
      <c r="AZ198" s="19">
        <v>0</v>
      </c>
      <c r="BA198" s="19">
        <f t="shared" ref="BA198:BA207" si="543">SUM(BB198+BF198+BI198+BK198+BN198)</f>
        <v>0</v>
      </c>
      <c r="BB198" s="19">
        <f t="shared" ref="BB198:BB207" si="544">SUM(BC198:BE198)</f>
        <v>0</v>
      </c>
      <c r="BC198" s="19">
        <v>0</v>
      </c>
      <c r="BD198" s="19">
        <v>0</v>
      </c>
      <c r="BE198" s="19">
        <v>0</v>
      </c>
      <c r="BF198" s="19">
        <f t="shared" ref="BF198:BF207" si="545">SUM(BH198:BH198)</f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ref="BK198:BK207" si="546">SUM(BL198)</f>
        <v>0</v>
      </c>
      <c r="BL198" s="19">
        <v>0</v>
      </c>
      <c r="BM198" s="19">
        <v>0</v>
      </c>
      <c r="BN198" s="19">
        <f t="shared" ref="BN198:BN207" si="547">SUM(BO198:BY198)</f>
        <v>0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19">
        <v>0</v>
      </c>
      <c r="BX198" s="19">
        <v>0</v>
      </c>
      <c r="BY198" s="19">
        <v>0</v>
      </c>
      <c r="BZ198" s="19">
        <f t="shared" ref="BZ198:BZ207" si="548">SUM(CA198+CO198)</f>
        <v>0</v>
      </c>
      <c r="CA198" s="19">
        <f t="shared" ref="CA198:CA207" si="549">SUM(CB198+CE198+CK198)</f>
        <v>0</v>
      </c>
      <c r="CB198" s="19">
        <f t="shared" ref="CB198:CB207" si="550">SUM(CC198:CD198)</f>
        <v>0</v>
      </c>
      <c r="CC198" s="19">
        <v>0</v>
      </c>
      <c r="CD198" s="19">
        <v>0</v>
      </c>
      <c r="CE198" s="19">
        <f t="shared" ref="CE198:CE207" si="551">SUM(CF198:CJ198)</f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ref="CK198:CK207" si="552">SUM(CL198:CN198)</f>
        <v>0</v>
      </c>
      <c r="CL198" s="19">
        <v>0</v>
      </c>
      <c r="CM198" s="19">
        <v>0</v>
      </c>
      <c r="CN198" s="19"/>
      <c r="CO198" s="19">
        <v>0</v>
      </c>
      <c r="CP198" s="75"/>
      <c r="CQ198" s="75"/>
      <c r="CR198" s="75"/>
      <c r="CS198" s="19">
        <f t="shared" ref="CS198:CS207" si="553">SUM(CT198)</f>
        <v>0</v>
      </c>
      <c r="CT198" s="19">
        <f t="shared" ref="CT198:CT207" si="554">SUM(CU198:CV198)</f>
        <v>0</v>
      </c>
      <c r="CU198" s="19">
        <v>0</v>
      </c>
      <c r="CV198" s="20">
        <v>0</v>
      </c>
      <c r="CW198" s="52"/>
    </row>
    <row r="199" spans="1:101" ht="15.6" x14ac:dyDescent="0.3">
      <c r="A199" s="105" t="s">
        <v>1</v>
      </c>
      <c r="B199" s="34" t="s">
        <v>273</v>
      </c>
      <c r="C199" s="31" t="s">
        <v>333</v>
      </c>
      <c r="D199" s="19">
        <f t="shared" si="536"/>
        <v>15223838</v>
      </c>
      <c r="E199" s="19">
        <f t="shared" si="537"/>
        <v>15223838</v>
      </c>
      <c r="F199" s="19">
        <f t="shared" si="538"/>
        <v>15223838</v>
      </c>
      <c r="G199" s="19">
        <v>0</v>
      </c>
      <c r="H199" s="19">
        <v>0</v>
      </c>
      <c r="I199" s="19">
        <f t="shared" si="539"/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f t="shared" si="540"/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f t="shared" si="541"/>
        <v>15223838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23">
        <v>15223838</v>
      </c>
      <c r="AC199" s="19">
        <v>0</v>
      </c>
      <c r="AD199" s="19">
        <v>0</v>
      </c>
      <c r="AE199" s="19">
        <f t="shared" si="542"/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/>
      <c r="AU199" s="19"/>
      <c r="AV199" s="19">
        <v>0</v>
      </c>
      <c r="AW199" s="19">
        <v>0</v>
      </c>
      <c r="AX199" s="19">
        <v>0</v>
      </c>
      <c r="AY199" s="19"/>
      <c r="AZ199" s="19">
        <v>0</v>
      </c>
      <c r="BA199" s="19">
        <f t="shared" si="543"/>
        <v>0</v>
      </c>
      <c r="BB199" s="19">
        <f t="shared" si="544"/>
        <v>0</v>
      </c>
      <c r="BC199" s="19">
        <v>0</v>
      </c>
      <c r="BD199" s="19">
        <v>0</v>
      </c>
      <c r="BE199" s="19">
        <v>0</v>
      </c>
      <c r="BF199" s="19">
        <f t="shared" si="545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 t="shared" si="546"/>
        <v>0</v>
      </c>
      <c r="BL199" s="19">
        <v>0</v>
      </c>
      <c r="BM199" s="19">
        <v>0</v>
      </c>
      <c r="BN199" s="19">
        <f t="shared" si="547"/>
        <v>0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0</v>
      </c>
      <c r="BW199" s="19">
        <v>0</v>
      </c>
      <c r="BX199" s="19">
        <v>0</v>
      </c>
      <c r="BY199" s="19">
        <v>0</v>
      </c>
      <c r="BZ199" s="19">
        <f t="shared" si="548"/>
        <v>0</v>
      </c>
      <c r="CA199" s="19">
        <f t="shared" si="549"/>
        <v>0</v>
      </c>
      <c r="CB199" s="19">
        <f t="shared" si="550"/>
        <v>0</v>
      </c>
      <c r="CC199" s="19">
        <v>0</v>
      </c>
      <c r="CD199" s="19">
        <v>0</v>
      </c>
      <c r="CE199" s="19">
        <f t="shared" si="551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52"/>
        <v>0</v>
      </c>
      <c r="CL199" s="19">
        <v>0</v>
      </c>
      <c r="CM199" s="19">
        <v>0</v>
      </c>
      <c r="CN199" s="19"/>
      <c r="CO199" s="19">
        <v>0</v>
      </c>
      <c r="CP199" s="75"/>
      <c r="CQ199" s="75"/>
      <c r="CR199" s="75"/>
      <c r="CS199" s="19">
        <f t="shared" si="553"/>
        <v>0</v>
      </c>
      <c r="CT199" s="19">
        <f t="shared" si="554"/>
        <v>0</v>
      </c>
      <c r="CU199" s="19">
        <v>0</v>
      </c>
      <c r="CV199" s="20">
        <v>0</v>
      </c>
      <c r="CW199" s="52"/>
    </row>
    <row r="200" spans="1:101" ht="19.8" customHeight="1" x14ac:dyDescent="0.3">
      <c r="A200" s="105" t="s">
        <v>1</v>
      </c>
      <c r="B200" s="34" t="s">
        <v>273</v>
      </c>
      <c r="C200" s="31" t="s">
        <v>334</v>
      </c>
      <c r="D200" s="19">
        <f t="shared" si="536"/>
        <v>315064</v>
      </c>
      <c r="E200" s="19">
        <f t="shared" si="537"/>
        <v>315064</v>
      </c>
      <c r="F200" s="19">
        <f t="shared" si="538"/>
        <v>315064</v>
      </c>
      <c r="G200" s="19">
        <v>0</v>
      </c>
      <c r="H200" s="19">
        <v>0</v>
      </c>
      <c r="I200" s="19">
        <f t="shared" si="539"/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f t="shared" si="540"/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f t="shared" si="541"/>
        <v>315064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23">
        <v>315064</v>
      </c>
      <c r="AC200" s="19">
        <v>0</v>
      </c>
      <c r="AD200" s="19">
        <v>0</v>
      </c>
      <c r="AE200" s="19">
        <f t="shared" si="542"/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/>
      <c r="AU200" s="19"/>
      <c r="AV200" s="19">
        <v>0</v>
      </c>
      <c r="AW200" s="19">
        <v>0</v>
      </c>
      <c r="AX200" s="19">
        <v>0</v>
      </c>
      <c r="AY200" s="19"/>
      <c r="AZ200" s="19">
        <v>0</v>
      </c>
      <c r="BA200" s="19">
        <f t="shared" si="543"/>
        <v>0</v>
      </c>
      <c r="BB200" s="19">
        <f t="shared" si="544"/>
        <v>0</v>
      </c>
      <c r="BC200" s="19">
        <v>0</v>
      </c>
      <c r="BD200" s="19">
        <v>0</v>
      </c>
      <c r="BE200" s="19">
        <v>0</v>
      </c>
      <c r="BF200" s="19">
        <f t="shared" si="545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 t="shared" si="546"/>
        <v>0</v>
      </c>
      <c r="BL200" s="19">
        <v>0</v>
      </c>
      <c r="BM200" s="19">
        <v>0</v>
      </c>
      <c r="BN200" s="19">
        <f t="shared" si="547"/>
        <v>0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19">
        <v>0</v>
      </c>
      <c r="BX200" s="19">
        <v>0</v>
      </c>
      <c r="BY200" s="19">
        <v>0</v>
      </c>
      <c r="BZ200" s="19">
        <f t="shared" si="548"/>
        <v>0</v>
      </c>
      <c r="CA200" s="19">
        <f t="shared" si="549"/>
        <v>0</v>
      </c>
      <c r="CB200" s="19">
        <f t="shared" si="550"/>
        <v>0</v>
      </c>
      <c r="CC200" s="19">
        <v>0</v>
      </c>
      <c r="CD200" s="19">
        <v>0</v>
      </c>
      <c r="CE200" s="19">
        <f t="shared" si="551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52"/>
        <v>0</v>
      </c>
      <c r="CL200" s="19">
        <v>0</v>
      </c>
      <c r="CM200" s="19">
        <v>0</v>
      </c>
      <c r="CN200" s="19"/>
      <c r="CO200" s="19">
        <v>0</v>
      </c>
      <c r="CP200" s="75"/>
      <c r="CQ200" s="75"/>
      <c r="CR200" s="75"/>
      <c r="CS200" s="19">
        <f t="shared" si="553"/>
        <v>0</v>
      </c>
      <c r="CT200" s="19">
        <f t="shared" si="554"/>
        <v>0</v>
      </c>
      <c r="CU200" s="19">
        <v>0</v>
      </c>
      <c r="CV200" s="20">
        <v>0</v>
      </c>
      <c r="CW200" s="52"/>
    </row>
    <row r="201" spans="1:101" ht="20.399999999999999" customHeight="1" x14ac:dyDescent="0.3">
      <c r="A201" s="105" t="s">
        <v>1</v>
      </c>
      <c r="B201" s="34" t="s">
        <v>273</v>
      </c>
      <c r="C201" s="31" t="s">
        <v>335</v>
      </c>
      <c r="D201" s="19">
        <f t="shared" si="536"/>
        <v>231193</v>
      </c>
      <c r="E201" s="19">
        <f t="shared" si="537"/>
        <v>231193</v>
      </c>
      <c r="F201" s="19">
        <f t="shared" si="538"/>
        <v>231193</v>
      </c>
      <c r="G201" s="19">
        <v>0</v>
      </c>
      <c r="H201" s="19">
        <v>0</v>
      </c>
      <c r="I201" s="19">
        <f t="shared" si="539"/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f t="shared" si="540"/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f t="shared" si="541"/>
        <v>231193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23">
        <v>231193</v>
      </c>
      <c r="AC201" s="19">
        <v>0</v>
      </c>
      <c r="AD201" s="19">
        <v>0</v>
      </c>
      <c r="AE201" s="19">
        <f t="shared" si="542"/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/>
      <c r="AU201" s="19"/>
      <c r="AV201" s="19">
        <v>0</v>
      </c>
      <c r="AW201" s="19">
        <v>0</v>
      </c>
      <c r="AX201" s="19">
        <v>0</v>
      </c>
      <c r="AY201" s="19"/>
      <c r="AZ201" s="19">
        <v>0</v>
      </c>
      <c r="BA201" s="19">
        <f t="shared" si="543"/>
        <v>0</v>
      </c>
      <c r="BB201" s="19">
        <f t="shared" si="544"/>
        <v>0</v>
      </c>
      <c r="BC201" s="19">
        <v>0</v>
      </c>
      <c r="BD201" s="19">
        <v>0</v>
      </c>
      <c r="BE201" s="19">
        <v>0</v>
      </c>
      <c r="BF201" s="19">
        <f t="shared" si="545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 t="shared" si="546"/>
        <v>0</v>
      </c>
      <c r="BL201" s="19">
        <v>0</v>
      </c>
      <c r="BM201" s="19">
        <v>0</v>
      </c>
      <c r="BN201" s="19">
        <f t="shared" si="547"/>
        <v>0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19">
        <v>0</v>
      </c>
      <c r="BX201" s="19">
        <v>0</v>
      </c>
      <c r="BY201" s="19">
        <v>0</v>
      </c>
      <c r="BZ201" s="19">
        <f t="shared" si="548"/>
        <v>0</v>
      </c>
      <c r="CA201" s="19">
        <f t="shared" si="549"/>
        <v>0</v>
      </c>
      <c r="CB201" s="19">
        <f t="shared" si="550"/>
        <v>0</v>
      </c>
      <c r="CC201" s="19">
        <v>0</v>
      </c>
      <c r="CD201" s="19">
        <v>0</v>
      </c>
      <c r="CE201" s="19">
        <f t="shared" si="551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52"/>
        <v>0</v>
      </c>
      <c r="CL201" s="19">
        <v>0</v>
      </c>
      <c r="CM201" s="19">
        <v>0</v>
      </c>
      <c r="CN201" s="19"/>
      <c r="CO201" s="19">
        <v>0</v>
      </c>
      <c r="CP201" s="75"/>
      <c r="CQ201" s="75"/>
      <c r="CR201" s="75"/>
      <c r="CS201" s="19">
        <f t="shared" si="553"/>
        <v>0</v>
      </c>
      <c r="CT201" s="19">
        <f t="shared" si="554"/>
        <v>0</v>
      </c>
      <c r="CU201" s="19">
        <v>0</v>
      </c>
      <c r="CV201" s="20">
        <v>0</v>
      </c>
      <c r="CW201" s="52"/>
    </row>
    <row r="202" spans="1:101" ht="15.6" x14ac:dyDescent="0.3">
      <c r="A202" s="105" t="s">
        <v>1</v>
      </c>
      <c r="B202" s="34" t="s">
        <v>273</v>
      </c>
      <c r="C202" s="31" t="s">
        <v>336</v>
      </c>
      <c r="D202" s="19">
        <f t="shared" si="536"/>
        <v>531025</v>
      </c>
      <c r="E202" s="19">
        <f t="shared" si="537"/>
        <v>531025</v>
      </c>
      <c r="F202" s="19">
        <f t="shared" si="538"/>
        <v>531025</v>
      </c>
      <c r="G202" s="19">
        <v>0</v>
      </c>
      <c r="H202" s="19">
        <v>0</v>
      </c>
      <c r="I202" s="19">
        <f t="shared" si="539"/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f t="shared" si="540"/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f t="shared" si="541"/>
        <v>531025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23">
        <v>531025</v>
      </c>
      <c r="AC202" s="19">
        <v>0</v>
      </c>
      <c r="AD202" s="19">
        <v>0</v>
      </c>
      <c r="AE202" s="19">
        <f t="shared" si="542"/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/>
      <c r="AU202" s="19"/>
      <c r="AV202" s="19">
        <v>0</v>
      </c>
      <c r="AW202" s="19">
        <v>0</v>
      </c>
      <c r="AX202" s="19">
        <v>0</v>
      </c>
      <c r="AY202" s="19"/>
      <c r="AZ202" s="19">
        <v>0</v>
      </c>
      <c r="BA202" s="19">
        <f t="shared" si="543"/>
        <v>0</v>
      </c>
      <c r="BB202" s="19">
        <f t="shared" si="544"/>
        <v>0</v>
      </c>
      <c r="BC202" s="19">
        <v>0</v>
      </c>
      <c r="BD202" s="19">
        <v>0</v>
      </c>
      <c r="BE202" s="19">
        <v>0</v>
      </c>
      <c r="BF202" s="19">
        <f t="shared" si="545"/>
        <v>0</v>
      </c>
      <c r="BG202" s="19">
        <v>0</v>
      </c>
      <c r="BH202" s="19">
        <v>0</v>
      </c>
      <c r="BI202" s="19">
        <v>0</v>
      </c>
      <c r="BJ202" s="19">
        <v>0</v>
      </c>
      <c r="BK202" s="19">
        <f t="shared" si="546"/>
        <v>0</v>
      </c>
      <c r="BL202" s="19">
        <v>0</v>
      </c>
      <c r="BM202" s="19">
        <v>0</v>
      </c>
      <c r="BN202" s="19">
        <f t="shared" si="547"/>
        <v>0</v>
      </c>
      <c r="BO202" s="19"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19">
        <v>0</v>
      </c>
      <c r="BX202" s="19">
        <v>0</v>
      </c>
      <c r="BY202" s="19">
        <v>0</v>
      </c>
      <c r="BZ202" s="19">
        <f t="shared" si="548"/>
        <v>0</v>
      </c>
      <c r="CA202" s="19">
        <f t="shared" si="549"/>
        <v>0</v>
      </c>
      <c r="CB202" s="19">
        <f t="shared" si="550"/>
        <v>0</v>
      </c>
      <c r="CC202" s="19">
        <v>0</v>
      </c>
      <c r="CD202" s="19">
        <v>0</v>
      </c>
      <c r="CE202" s="19">
        <f t="shared" si="551"/>
        <v>0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f t="shared" si="552"/>
        <v>0</v>
      </c>
      <c r="CL202" s="19">
        <v>0</v>
      </c>
      <c r="CM202" s="19">
        <v>0</v>
      </c>
      <c r="CN202" s="19"/>
      <c r="CO202" s="19">
        <v>0</v>
      </c>
      <c r="CP202" s="75"/>
      <c r="CQ202" s="75"/>
      <c r="CR202" s="75"/>
      <c r="CS202" s="19">
        <f t="shared" si="553"/>
        <v>0</v>
      </c>
      <c r="CT202" s="19">
        <f t="shared" si="554"/>
        <v>0</v>
      </c>
      <c r="CU202" s="19">
        <v>0</v>
      </c>
      <c r="CV202" s="20">
        <v>0</v>
      </c>
      <c r="CW202" s="52"/>
    </row>
    <row r="203" spans="1:101" ht="15.6" x14ac:dyDescent="0.3">
      <c r="A203" s="105" t="s">
        <v>1</v>
      </c>
      <c r="B203" s="34" t="s">
        <v>273</v>
      </c>
      <c r="C203" s="31" t="s">
        <v>337</v>
      </c>
      <c r="D203" s="19">
        <f t="shared" si="536"/>
        <v>147029</v>
      </c>
      <c r="E203" s="19">
        <f t="shared" si="537"/>
        <v>147029</v>
      </c>
      <c r="F203" s="19">
        <f t="shared" si="538"/>
        <v>147029</v>
      </c>
      <c r="G203" s="19">
        <v>0</v>
      </c>
      <c r="H203" s="19">
        <v>0</v>
      </c>
      <c r="I203" s="19">
        <f t="shared" si="539"/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f t="shared" si="540"/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f t="shared" si="541"/>
        <v>147029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23">
        <v>147029</v>
      </c>
      <c r="AC203" s="19">
        <v>0</v>
      </c>
      <c r="AD203" s="19">
        <v>0</v>
      </c>
      <c r="AE203" s="19">
        <f t="shared" si="542"/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/>
      <c r="AU203" s="19"/>
      <c r="AV203" s="19">
        <v>0</v>
      </c>
      <c r="AW203" s="19">
        <v>0</v>
      </c>
      <c r="AX203" s="19">
        <v>0</v>
      </c>
      <c r="AY203" s="19"/>
      <c r="AZ203" s="19">
        <v>0</v>
      </c>
      <c r="BA203" s="19">
        <f t="shared" si="543"/>
        <v>0</v>
      </c>
      <c r="BB203" s="19">
        <f t="shared" si="544"/>
        <v>0</v>
      </c>
      <c r="BC203" s="19">
        <v>0</v>
      </c>
      <c r="BD203" s="19">
        <v>0</v>
      </c>
      <c r="BE203" s="19">
        <v>0</v>
      </c>
      <c r="BF203" s="19">
        <f t="shared" si="545"/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si="546"/>
        <v>0</v>
      </c>
      <c r="BL203" s="19">
        <v>0</v>
      </c>
      <c r="BM203" s="19">
        <v>0</v>
      </c>
      <c r="BN203" s="19">
        <f t="shared" si="547"/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19">
        <v>0</v>
      </c>
      <c r="BX203" s="19">
        <v>0</v>
      </c>
      <c r="BY203" s="19">
        <v>0</v>
      </c>
      <c r="BZ203" s="19">
        <f t="shared" si="548"/>
        <v>0</v>
      </c>
      <c r="CA203" s="19">
        <f t="shared" si="549"/>
        <v>0</v>
      </c>
      <c r="CB203" s="19">
        <f t="shared" si="550"/>
        <v>0</v>
      </c>
      <c r="CC203" s="19">
        <v>0</v>
      </c>
      <c r="CD203" s="19">
        <v>0</v>
      </c>
      <c r="CE203" s="19">
        <f t="shared" si="551"/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si="552"/>
        <v>0</v>
      </c>
      <c r="CL203" s="19">
        <v>0</v>
      </c>
      <c r="CM203" s="19">
        <v>0</v>
      </c>
      <c r="CN203" s="19"/>
      <c r="CO203" s="19">
        <v>0</v>
      </c>
      <c r="CP203" s="75"/>
      <c r="CQ203" s="75"/>
      <c r="CR203" s="75"/>
      <c r="CS203" s="19">
        <f t="shared" si="553"/>
        <v>0</v>
      </c>
      <c r="CT203" s="19">
        <f t="shared" si="554"/>
        <v>0</v>
      </c>
      <c r="CU203" s="19">
        <v>0</v>
      </c>
      <c r="CV203" s="20">
        <v>0</v>
      </c>
      <c r="CW203" s="52"/>
    </row>
    <row r="204" spans="1:101" ht="15.6" x14ac:dyDescent="0.3">
      <c r="A204" s="105" t="s">
        <v>1</v>
      </c>
      <c r="B204" s="34" t="s">
        <v>273</v>
      </c>
      <c r="C204" s="31" t="s">
        <v>338</v>
      </c>
      <c r="D204" s="19">
        <f t="shared" si="536"/>
        <v>998189</v>
      </c>
      <c r="E204" s="19">
        <f t="shared" si="537"/>
        <v>998189</v>
      </c>
      <c r="F204" s="19">
        <f t="shared" si="538"/>
        <v>998189</v>
      </c>
      <c r="G204" s="19">
        <v>0</v>
      </c>
      <c r="H204" s="19">
        <v>0</v>
      </c>
      <c r="I204" s="19">
        <f t="shared" si="539"/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f t="shared" si="540"/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f t="shared" si="541"/>
        <v>998189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23">
        <v>998189</v>
      </c>
      <c r="AC204" s="19">
        <v>0</v>
      </c>
      <c r="AD204" s="19">
        <v>0</v>
      </c>
      <c r="AE204" s="19">
        <f t="shared" si="542"/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/>
      <c r="AU204" s="19"/>
      <c r="AV204" s="19">
        <v>0</v>
      </c>
      <c r="AW204" s="19">
        <v>0</v>
      </c>
      <c r="AX204" s="19">
        <v>0</v>
      </c>
      <c r="AY204" s="19"/>
      <c r="AZ204" s="19">
        <v>0</v>
      </c>
      <c r="BA204" s="19">
        <f t="shared" si="543"/>
        <v>0</v>
      </c>
      <c r="BB204" s="19">
        <f t="shared" si="544"/>
        <v>0</v>
      </c>
      <c r="BC204" s="19">
        <v>0</v>
      </c>
      <c r="BD204" s="19">
        <v>0</v>
      </c>
      <c r="BE204" s="19">
        <v>0</v>
      </c>
      <c r="BF204" s="19">
        <f t="shared" si="545"/>
        <v>0</v>
      </c>
      <c r="BG204" s="19">
        <v>0</v>
      </c>
      <c r="BH204" s="19">
        <v>0</v>
      </c>
      <c r="BI204" s="19">
        <v>0</v>
      </c>
      <c r="BJ204" s="19">
        <v>0</v>
      </c>
      <c r="BK204" s="19">
        <f t="shared" si="546"/>
        <v>0</v>
      </c>
      <c r="BL204" s="19">
        <v>0</v>
      </c>
      <c r="BM204" s="19">
        <v>0</v>
      </c>
      <c r="BN204" s="19">
        <f t="shared" si="547"/>
        <v>0</v>
      </c>
      <c r="BO204" s="19">
        <v>0</v>
      </c>
      <c r="BP204" s="19">
        <v>0</v>
      </c>
      <c r="BQ204" s="19">
        <v>0</v>
      </c>
      <c r="BR204" s="19">
        <v>0</v>
      </c>
      <c r="BS204" s="19">
        <v>0</v>
      </c>
      <c r="BT204" s="19">
        <v>0</v>
      </c>
      <c r="BU204" s="19">
        <v>0</v>
      </c>
      <c r="BV204" s="19">
        <v>0</v>
      </c>
      <c r="BW204" s="19">
        <v>0</v>
      </c>
      <c r="BX204" s="19">
        <v>0</v>
      </c>
      <c r="BY204" s="19">
        <v>0</v>
      </c>
      <c r="BZ204" s="19">
        <f t="shared" si="548"/>
        <v>0</v>
      </c>
      <c r="CA204" s="19">
        <f t="shared" si="549"/>
        <v>0</v>
      </c>
      <c r="CB204" s="19">
        <f t="shared" si="550"/>
        <v>0</v>
      </c>
      <c r="CC204" s="19">
        <v>0</v>
      </c>
      <c r="CD204" s="19">
        <v>0</v>
      </c>
      <c r="CE204" s="19">
        <f t="shared" si="551"/>
        <v>0</v>
      </c>
      <c r="CF204" s="19">
        <v>0</v>
      </c>
      <c r="CG204" s="19">
        <v>0</v>
      </c>
      <c r="CH204" s="19">
        <v>0</v>
      </c>
      <c r="CI204" s="19">
        <v>0</v>
      </c>
      <c r="CJ204" s="19">
        <v>0</v>
      </c>
      <c r="CK204" s="19">
        <f t="shared" si="552"/>
        <v>0</v>
      </c>
      <c r="CL204" s="19">
        <v>0</v>
      </c>
      <c r="CM204" s="19">
        <v>0</v>
      </c>
      <c r="CN204" s="19"/>
      <c r="CO204" s="19">
        <v>0</v>
      </c>
      <c r="CP204" s="75"/>
      <c r="CQ204" s="75"/>
      <c r="CR204" s="75"/>
      <c r="CS204" s="19">
        <f t="shared" si="553"/>
        <v>0</v>
      </c>
      <c r="CT204" s="19">
        <f t="shared" si="554"/>
        <v>0</v>
      </c>
      <c r="CU204" s="19">
        <v>0</v>
      </c>
      <c r="CV204" s="20">
        <v>0</v>
      </c>
      <c r="CW204" s="52"/>
    </row>
    <row r="205" spans="1:101" ht="15.6" x14ac:dyDescent="0.3">
      <c r="A205" s="105" t="s">
        <v>1</v>
      </c>
      <c r="B205" s="34" t="s">
        <v>273</v>
      </c>
      <c r="C205" s="31" t="s">
        <v>339</v>
      </c>
      <c r="D205" s="19">
        <f t="shared" si="536"/>
        <v>651705</v>
      </c>
      <c r="E205" s="19">
        <f t="shared" si="537"/>
        <v>651705</v>
      </c>
      <c r="F205" s="19">
        <f t="shared" si="538"/>
        <v>651705</v>
      </c>
      <c r="G205" s="19">
        <v>0</v>
      </c>
      <c r="H205" s="19">
        <v>0</v>
      </c>
      <c r="I205" s="19">
        <f t="shared" si="539"/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si="540"/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si="541"/>
        <v>651705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651705</v>
      </c>
      <c r="AC205" s="19">
        <v>0</v>
      </c>
      <c r="AD205" s="19">
        <v>0</v>
      </c>
      <c r="AE205" s="19">
        <f t="shared" si="542"/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si="543"/>
        <v>0</v>
      </c>
      <c r="BB205" s="19">
        <f t="shared" si="544"/>
        <v>0</v>
      </c>
      <c r="BC205" s="19">
        <v>0</v>
      </c>
      <c r="BD205" s="19">
        <v>0</v>
      </c>
      <c r="BE205" s="19">
        <v>0</v>
      </c>
      <c r="BF205" s="19">
        <f t="shared" si="545"/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si="546"/>
        <v>0</v>
      </c>
      <c r="BL205" s="19">
        <v>0</v>
      </c>
      <c r="BM205" s="19">
        <v>0</v>
      </c>
      <c r="BN205" s="19">
        <f t="shared" si="547"/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si="548"/>
        <v>0</v>
      </c>
      <c r="CA205" s="19">
        <f t="shared" si="549"/>
        <v>0</v>
      </c>
      <c r="CB205" s="19">
        <f t="shared" si="550"/>
        <v>0</v>
      </c>
      <c r="CC205" s="19">
        <v>0</v>
      </c>
      <c r="CD205" s="19">
        <v>0</v>
      </c>
      <c r="CE205" s="19">
        <f t="shared" si="551"/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si="552"/>
        <v>0</v>
      </c>
      <c r="CL205" s="19">
        <v>0</v>
      </c>
      <c r="CM205" s="19">
        <v>0</v>
      </c>
      <c r="CN205" s="19"/>
      <c r="CO205" s="19">
        <v>0</v>
      </c>
      <c r="CP205" s="75"/>
      <c r="CQ205" s="75"/>
      <c r="CR205" s="75"/>
      <c r="CS205" s="19">
        <f t="shared" si="553"/>
        <v>0</v>
      </c>
      <c r="CT205" s="19">
        <f t="shared" si="554"/>
        <v>0</v>
      </c>
      <c r="CU205" s="19">
        <v>0</v>
      </c>
      <c r="CV205" s="20">
        <v>0</v>
      </c>
      <c r="CW205" s="52"/>
    </row>
    <row r="206" spans="1:101" ht="15.6" x14ac:dyDescent="0.3">
      <c r="A206" s="105"/>
      <c r="B206" s="34" t="s">
        <v>273</v>
      </c>
      <c r="C206" s="31" t="s">
        <v>340</v>
      </c>
      <c r="D206" s="19">
        <f t="shared" si="536"/>
        <v>3316498</v>
      </c>
      <c r="E206" s="19">
        <f t="shared" si="537"/>
        <v>3316498</v>
      </c>
      <c r="F206" s="19">
        <f t="shared" ref="F206" si="555">SUM(G206+H206+I206+P206+S206+T206+U206+AE206+AD206)</f>
        <v>3316498</v>
      </c>
      <c r="G206" s="19">
        <v>0</v>
      </c>
      <c r="H206" s="19">
        <v>0</v>
      </c>
      <c r="I206" s="19">
        <f t="shared" ref="I206" si="556">SUM(J206:O206)</f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ref="P206" si="557">SUM(Q206:R206)</f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ref="U206" si="558">SUM(V206:AC206)</f>
        <v>3316498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3316498</v>
      </c>
      <c r="AC206" s="19">
        <v>0</v>
      </c>
      <c r="AD206" s="19">
        <v>0</v>
      </c>
      <c r="AE206" s="19">
        <f t="shared" si="542"/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543"/>
        <v>0</v>
      </c>
      <c r="BB206" s="19">
        <f t="shared" ref="BB206" si="559">SUM(BC206:BE206)</f>
        <v>0</v>
      </c>
      <c r="BC206" s="19">
        <v>0</v>
      </c>
      <c r="BD206" s="19">
        <v>0</v>
      </c>
      <c r="BE206" s="19">
        <v>0</v>
      </c>
      <c r="BF206" s="19">
        <f t="shared" si="545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ref="BK206" si="560">SUM(BL206)</f>
        <v>0</v>
      </c>
      <c r="BL206" s="19">
        <v>0</v>
      </c>
      <c r="BM206" s="19">
        <v>0</v>
      </c>
      <c r="BN206" s="19">
        <f t="shared" si="547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548"/>
        <v>0</v>
      </c>
      <c r="CA206" s="19">
        <f t="shared" si="549"/>
        <v>0</v>
      </c>
      <c r="CB206" s="19">
        <f t="shared" ref="CB206" si="561">SUM(CC206:CD206)</f>
        <v>0</v>
      </c>
      <c r="CC206" s="19">
        <v>0</v>
      </c>
      <c r="CD206" s="19">
        <v>0</v>
      </c>
      <c r="CE206" s="19">
        <f t="shared" si="551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552"/>
        <v>0</v>
      </c>
      <c r="CL206" s="19">
        <v>0</v>
      </c>
      <c r="CM206" s="19">
        <v>0</v>
      </c>
      <c r="CN206" s="19"/>
      <c r="CO206" s="19">
        <v>0</v>
      </c>
      <c r="CP206" s="75"/>
      <c r="CQ206" s="75"/>
      <c r="CR206" s="75"/>
      <c r="CS206" s="19">
        <f t="shared" ref="CS206" si="562">SUM(CT206)</f>
        <v>0</v>
      </c>
      <c r="CT206" s="19">
        <f t="shared" ref="CT206" si="563">SUM(CU206:CV206)</f>
        <v>0</v>
      </c>
      <c r="CU206" s="19">
        <v>0</v>
      </c>
      <c r="CV206" s="20">
        <v>0</v>
      </c>
      <c r="CW206" s="52"/>
    </row>
    <row r="207" spans="1:101" s="58" customFormat="1" ht="46.8" x14ac:dyDescent="0.3">
      <c r="A207" s="105" t="s">
        <v>1</v>
      </c>
      <c r="B207" s="33" t="s">
        <v>78</v>
      </c>
      <c r="C207" s="32" t="s">
        <v>453</v>
      </c>
      <c r="D207" s="19">
        <f t="shared" si="536"/>
        <v>6631135</v>
      </c>
      <c r="E207" s="19">
        <f t="shared" si="537"/>
        <v>6631135</v>
      </c>
      <c r="F207" s="19">
        <f t="shared" si="538"/>
        <v>6631135</v>
      </c>
      <c r="G207" s="19">
        <v>0</v>
      </c>
      <c r="H207" s="19">
        <v>0</v>
      </c>
      <c r="I207" s="19">
        <f t="shared" si="539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540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541"/>
        <v>6631135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6631135</v>
      </c>
      <c r="AC207" s="19">
        <v>0</v>
      </c>
      <c r="AD207" s="19">
        <v>0</v>
      </c>
      <c r="AE207" s="19">
        <f t="shared" si="542"/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543"/>
        <v>0</v>
      </c>
      <c r="BB207" s="19">
        <f t="shared" si="544"/>
        <v>0</v>
      </c>
      <c r="BC207" s="19">
        <v>0</v>
      </c>
      <c r="BD207" s="19">
        <v>0</v>
      </c>
      <c r="BE207" s="19">
        <v>0</v>
      </c>
      <c r="BF207" s="19">
        <f t="shared" si="545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546"/>
        <v>0</v>
      </c>
      <c r="BL207" s="19">
        <v>0</v>
      </c>
      <c r="BM207" s="19">
        <v>0</v>
      </c>
      <c r="BN207" s="19">
        <f t="shared" si="547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548"/>
        <v>0</v>
      </c>
      <c r="CA207" s="19">
        <f t="shared" si="549"/>
        <v>0</v>
      </c>
      <c r="CB207" s="19">
        <f t="shared" si="550"/>
        <v>0</v>
      </c>
      <c r="CC207" s="19">
        <v>0</v>
      </c>
      <c r="CD207" s="19">
        <v>0</v>
      </c>
      <c r="CE207" s="19">
        <f t="shared" si="551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552"/>
        <v>0</v>
      </c>
      <c r="CL207" s="19">
        <v>0</v>
      </c>
      <c r="CM207" s="19">
        <v>0</v>
      </c>
      <c r="CN207" s="19"/>
      <c r="CO207" s="19">
        <v>0</v>
      </c>
      <c r="CP207" s="75"/>
      <c r="CQ207" s="75"/>
      <c r="CR207" s="75"/>
      <c r="CS207" s="19">
        <f t="shared" si="553"/>
        <v>0</v>
      </c>
      <c r="CT207" s="19">
        <f t="shared" si="554"/>
        <v>0</v>
      </c>
      <c r="CU207" s="19">
        <v>0</v>
      </c>
      <c r="CV207" s="20">
        <v>0</v>
      </c>
      <c r="CW207" s="52"/>
    </row>
    <row r="208" spans="1:101" s="58" customFormat="1" ht="31.2" x14ac:dyDescent="0.3">
      <c r="A208" s="106" t="s">
        <v>274</v>
      </c>
      <c r="B208" s="25" t="s">
        <v>1</v>
      </c>
      <c r="C208" s="26" t="s">
        <v>275</v>
      </c>
      <c r="D208" s="27">
        <f>SUM(D209)</f>
        <v>577274764</v>
      </c>
      <c r="E208" s="27">
        <f t="shared" ref="E208:BT208" si="564">SUM(E209)</f>
        <v>577274764</v>
      </c>
      <c r="F208" s="27">
        <f t="shared" si="564"/>
        <v>0</v>
      </c>
      <c r="G208" s="27">
        <f t="shared" si="564"/>
        <v>0</v>
      </c>
      <c r="H208" s="27">
        <f t="shared" si="564"/>
        <v>0</v>
      </c>
      <c r="I208" s="27">
        <f t="shared" si="564"/>
        <v>0</v>
      </c>
      <c r="J208" s="27">
        <f t="shared" si="564"/>
        <v>0</v>
      </c>
      <c r="K208" s="27">
        <f t="shared" si="564"/>
        <v>0</v>
      </c>
      <c r="L208" s="27">
        <f t="shared" si="564"/>
        <v>0</v>
      </c>
      <c r="M208" s="27">
        <f t="shared" si="564"/>
        <v>0</v>
      </c>
      <c r="N208" s="27">
        <f t="shared" si="564"/>
        <v>0</v>
      </c>
      <c r="O208" s="27">
        <f t="shared" si="564"/>
        <v>0</v>
      </c>
      <c r="P208" s="27">
        <f t="shared" si="564"/>
        <v>0</v>
      </c>
      <c r="Q208" s="27">
        <f t="shared" si="564"/>
        <v>0</v>
      </c>
      <c r="R208" s="27">
        <f t="shared" si="564"/>
        <v>0</v>
      </c>
      <c r="S208" s="27">
        <f t="shared" si="564"/>
        <v>0</v>
      </c>
      <c r="T208" s="27">
        <f t="shared" si="564"/>
        <v>0</v>
      </c>
      <c r="U208" s="27">
        <f t="shared" si="564"/>
        <v>0</v>
      </c>
      <c r="V208" s="27">
        <f t="shared" si="564"/>
        <v>0</v>
      </c>
      <c r="W208" s="27">
        <f t="shared" si="564"/>
        <v>0</v>
      </c>
      <c r="X208" s="27">
        <f t="shared" si="564"/>
        <v>0</v>
      </c>
      <c r="Y208" s="27">
        <f t="shared" si="564"/>
        <v>0</v>
      </c>
      <c r="Z208" s="27">
        <f t="shared" si="564"/>
        <v>0</v>
      </c>
      <c r="AA208" s="27">
        <f t="shared" si="564"/>
        <v>0</v>
      </c>
      <c r="AB208" s="27">
        <f t="shared" si="564"/>
        <v>0</v>
      </c>
      <c r="AC208" s="27">
        <f t="shared" si="564"/>
        <v>0</v>
      </c>
      <c r="AD208" s="27">
        <f t="shared" si="564"/>
        <v>0</v>
      </c>
      <c r="AE208" s="27">
        <f t="shared" si="564"/>
        <v>0</v>
      </c>
      <c r="AF208" s="27">
        <f t="shared" si="564"/>
        <v>0</v>
      </c>
      <c r="AG208" s="27">
        <f t="shared" si="564"/>
        <v>0</v>
      </c>
      <c r="AH208" s="27">
        <f t="shared" si="564"/>
        <v>0</v>
      </c>
      <c r="AI208" s="27">
        <f t="shared" si="564"/>
        <v>0</v>
      </c>
      <c r="AJ208" s="27">
        <f t="shared" si="564"/>
        <v>0</v>
      </c>
      <c r="AK208" s="27">
        <f t="shared" si="564"/>
        <v>0</v>
      </c>
      <c r="AL208" s="27">
        <f t="shared" si="564"/>
        <v>0</v>
      </c>
      <c r="AM208" s="27">
        <f t="shared" si="564"/>
        <v>0</v>
      </c>
      <c r="AN208" s="27">
        <f t="shared" si="564"/>
        <v>0</v>
      </c>
      <c r="AO208" s="27">
        <f t="shared" si="564"/>
        <v>0</v>
      </c>
      <c r="AP208" s="27">
        <f t="shared" si="564"/>
        <v>0</v>
      </c>
      <c r="AQ208" s="27">
        <f t="shared" si="564"/>
        <v>0</v>
      </c>
      <c r="AR208" s="27">
        <f t="shared" si="564"/>
        <v>0</v>
      </c>
      <c r="AS208" s="27">
        <f t="shared" si="564"/>
        <v>0</v>
      </c>
      <c r="AT208" s="27"/>
      <c r="AU208" s="27"/>
      <c r="AV208" s="27">
        <f t="shared" si="564"/>
        <v>0</v>
      </c>
      <c r="AW208" s="27">
        <f t="shared" si="564"/>
        <v>0</v>
      </c>
      <c r="AX208" s="27">
        <f t="shared" si="564"/>
        <v>0</v>
      </c>
      <c r="AY208" s="27"/>
      <c r="AZ208" s="27">
        <f t="shared" si="564"/>
        <v>0</v>
      </c>
      <c r="BA208" s="27">
        <f t="shared" si="564"/>
        <v>577274764</v>
      </c>
      <c r="BB208" s="27">
        <f t="shared" si="564"/>
        <v>3930948</v>
      </c>
      <c r="BC208" s="27">
        <f t="shared" si="564"/>
        <v>3930948</v>
      </c>
      <c r="BD208" s="27">
        <f t="shared" si="564"/>
        <v>0</v>
      </c>
      <c r="BE208" s="27">
        <f t="shared" si="564"/>
        <v>0</v>
      </c>
      <c r="BF208" s="27">
        <f t="shared" si="564"/>
        <v>0</v>
      </c>
      <c r="BG208" s="27">
        <f t="shared" si="564"/>
        <v>0</v>
      </c>
      <c r="BH208" s="27">
        <f t="shared" si="564"/>
        <v>0</v>
      </c>
      <c r="BI208" s="27">
        <f t="shared" si="564"/>
        <v>573343816</v>
      </c>
      <c r="BJ208" s="27">
        <f t="shared" si="564"/>
        <v>0</v>
      </c>
      <c r="BK208" s="27">
        <f t="shared" si="564"/>
        <v>0</v>
      </c>
      <c r="BL208" s="27">
        <f t="shared" si="564"/>
        <v>0</v>
      </c>
      <c r="BM208" s="27">
        <f t="shared" si="564"/>
        <v>0</v>
      </c>
      <c r="BN208" s="27">
        <f t="shared" si="564"/>
        <v>0</v>
      </c>
      <c r="BO208" s="27">
        <f t="shared" si="564"/>
        <v>0</v>
      </c>
      <c r="BP208" s="27">
        <f t="shared" si="564"/>
        <v>0</v>
      </c>
      <c r="BQ208" s="27">
        <f t="shared" si="564"/>
        <v>0</v>
      </c>
      <c r="BR208" s="27">
        <f t="shared" si="564"/>
        <v>0</v>
      </c>
      <c r="BS208" s="27">
        <f t="shared" si="564"/>
        <v>0</v>
      </c>
      <c r="BT208" s="27">
        <f t="shared" si="564"/>
        <v>0</v>
      </c>
      <c r="BU208" s="27">
        <f t="shared" ref="BU208:CV208" si="565">SUM(BU209)</f>
        <v>0</v>
      </c>
      <c r="BV208" s="27">
        <f t="shared" si="565"/>
        <v>0</v>
      </c>
      <c r="BW208" s="27">
        <f t="shared" si="565"/>
        <v>0</v>
      </c>
      <c r="BX208" s="27">
        <f t="shared" si="565"/>
        <v>0</v>
      </c>
      <c r="BY208" s="27">
        <f t="shared" si="565"/>
        <v>0</v>
      </c>
      <c r="BZ208" s="27">
        <f t="shared" si="565"/>
        <v>0</v>
      </c>
      <c r="CA208" s="27">
        <f t="shared" si="565"/>
        <v>0</v>
      </c>
      <c r="CB208" s="27">
        <f t="shared" si="565"/>
        <v>0</v>
      </c>
      <c r="CC208" s="27">
        <f t="shared" si="565"/>
        <v>0</v>
      </c>
      <c r="CD208" s="27">
        <f t="shared" si="565"/>
        <v>0</v>
      </c>
      <c r="CE208" s="27">
        <f t="shared" si="565"/>
        <v>0</v>
      </c>
      <c r="CF208" s="27">
        <f t="shared" si="565"/>
        <v>0</v>
      </c>
      <c r="CG208" s="27">
        <f t="shared" si="565"/>
        <v>0</v>
      </c>
      <c r="CH208" s="27">
        <f t="shared" si="565"/>
        <v>0</v>
      </c>
      <c r="CI208" s="27">
        <f t="shared" si="565"/>
        <v>0</v>
      </c>
      <c r="CJ208" s="27">
        <f t="shared" si="565"/>
        <v>0</v>
      </c>
      <c r="CK208" s="27">
        <f t="shared" si="565"/>
        <v>0</v>
      </c>
      <c r="CL208" s="27">
        <f t="shared" si="565"/>
        <v>0</v>
      </c>
      <c r="CM208" s="27">
        <f t="shared" si="565"/>
        <v>0</v>
      </c>
      <c r="CN208" s="27"/>
      <c r="CO208" s="27">
        <f t="shared" si="565"/>
        <v>0</v>
      </c>
      <c r="CP208" s="27">
        <f t="shared" si="565"/>
        <v>0</v>
      </c>
      <c r="CQ208" s="27">
        <f t="shared" si="565"/>
        <v>0</v>
      </c>
      <c r="CR208" s="27">
        <f t="shared" si="565"/>
        <v>0</v>
      </c>
      <c r="CS208" s="27">
        <f t="shared" si="565"/>
        <v>0</v>
      </c>
      <c r="CT208" s="27">
        <f t="shared" si="565"/>
        <v>0</v>
      </c>
      <c r="CU208" s="27">
        <f t="shared" si="565"/>
        <v>0</v>
      </c>
      <c r="CV208" s="60">
        <f t="shared" si="565"/>
        <v>0</v>
      </c>
      <c r="CW208" s="57"/>
    </row>
    <row r="209" spans="1:101" ht="31.2" x14ac:dyDescent="0.3">
      <c r="A209" s="104" t="s">
        <v>276</v>
      </c>
      <c r="B209" s="16" t="s">
        <v>1</v>
      </c>
      <c r="C209" s="17" t="s">
        <v>474</v>
      </c>
      <c r="D209" s="18">
        <f>SUM(D210:D211)</f>
        <v>577274764</v>
      </c>
      <c r="E209" s="18">
        <f t="shared" ref="E209:BT209" si="566">SUM(E210:E211)</f>
        <v>577274764</v>
      </c>
      <c r="F209" s="18">
        <f t="shared" si="566"/>
        <v>0</v>
      </c>
      <c r="G209" s="18">
        <f t="shared" si="566"/>
        <v>0</v>
      </c>
      <c r="H209" s="18">
        <f t="shared" si="566"/>
        <v>0</v>
      </c>
      <c r="I209" s="18">
        <f t="shared" si="566"/>
        <v>0</v>
      </c>
      <c r="J209" s="18">
        <f t="shared" si="566"/>
        <v>0</v>
      </c>
      <c r="K209" s="18">
        <f t="shared" si="566"/>
        <v>0</v>
      </c>
      <c r="L209" s="18">
        <f t="shared" si="566"/>
        <v>0</v>
      </c>
      <c r="M209" s="18">
        <f t="shared" si="566"/>
        <v>0</v>
      </c>
      <c r="N209" s="18">
        <f t="shared" si="566"/>
        <v>0</v>
      </c>
      <c r="O209" s="18">
        <f t="shared" si="566"/>
        <v>0</v>
      </c>
      <c r="P209" s="18">
        <f t="shared" si="566"/>
        <v>0</v>
      </c>
      <c r="Q209" s="18">
        <f t="shared" si="566"/>
        <v>0</v>
      </c>
      <c r="R209" s="18">
        <f t="shared" si="566"/>
        <v>0</v>
      </c>
      <c r="S209" s="18">
        <f t="shared" si="566"/>
        <v>0</v>
      </c>
      <c r="T209" s="18">
        <f t="shared" si="566"/>
        <v>0</v>
      </c>
      <c r="U209" s="18">
        <f t="shared" si="566"/>
        <v>0</v>
      </c>
      <c r="V209" s="18">
        <f t="shared" si="566"/>
        <v>0</v>
      </c>
      <c r="W209" s="18">
        <f t="shared" si="566"/>
        <v>0</v>
      </c>
      <c r="X209" s="18">
        <f t="shared" si="566"/>
        <v>0</v>
      </c>
      <c r="Y209" s="18">
        <f t="shared" si="566"/>
        <v>0</v>
      </c>
      <c r="Z209" s="18">
        <f t="shared" si="566"/>
        <v>0</v>
      </c>
      <c r="AA209" s="18">
        <f t="shared" si="566"/>
        <v>0</v>
      </c>
      <c r="AB209" s="18">
        <f t="shared" si="566"/>
        <v>0</v>
      </c>
      <c r="AC209" s="18">
        <f t="shared" si="566"/>
        <v>0</v>
      </c>
      <c r="AD209" s="18">
        <f t="shared" si="566"/>
        <v>0</v>
      </c>
      <c r="AE209" s="18">
        <f t="shared" si="566"/>
        <v>0</v>
      </c>
      <c r="AF209" s="18">
        <f t="shared" si="566"/>
        <v>0</v>
      </c>
      <c r="AG209" s="18">
        <f t="shared" si="566"/>
        <v>0</v>
      </c>
      <c r="AH209" s="18">
        <f t="shared" si="566"/>
        <v>0</v>
      </c>
      <c r="AI209" s="18">
        <f t="shared" si="566"/>
        <v>0</v>
      </c>
      <c r="AJ209" s="18">
        <f t="shared" si="566"/>
        <v>0</v>
      </c>
      <c r="AK209" s="18">
        <f t="shared" si="566"/>
        <v>0</v>
      </c>
      <c r="AL209" s="18">
        <f t="shared" si="566"/>
        <v>0</v>
      </c>
      <c r="AM209" s="18">
        <f t="shared" si="566"/>
        <v>0</v>
      </c>
      <c r="AN209" s="18">
        <f t="shared" si="566"/>
        <v>0</v>
      </c>
      <c r="AO209" s="18">
        <f t="shared" si="566"/>
        <v>0</v>
      </c>
      <c r="AP209" s="18">
        <f t="shared" si="566"/>
        <v>0</v>
      </c>
      <c r="AQ209" s="18">
        <f t="shared" si="566"/>
        <v>0</v>
      </c>
      <c r="AR209" s="18">
        <f t="shared" si="566"/>
        <v>0</v>
      </c>
      <c r="AS209" s="18">
        <f t="shared" si="566"/>
        <v>0</v>
      </c>
      <c r="AT209" s="18"/>
      <c r="AU209" s="18"/>
      <c r="AV209" s="18">
        <f t="shared" si="566"/>
        <v>0</v>
      </c>
      <c r="AW209" s="18">
        <f t="shared" si="566"/>
        <v>0</v>
      </c>
      <c r="AX209" s="18">
        <f t="shared" si="566"/>
        <v>0</v>
      </c>
      <c r="AY209" s="18"/>
      <c r="AZ209" s="18">
        <f t="shared" si="566"/>
        <v>0</v>
      </c>
      <c r="BA209" s="18">
        <f t="shared" si="566"/>
        <v>577274764</v>
      </c>
      <c r="BB209" s="18">
        <f t="shared" si="566"/>
        <v>3930948</v>
      </c>
      <c r="BC209" s="18">
        <f t="shared" si="566"/>
        <v>3930948</v>
      </c>
      <c r="BD209" s="18">
        <f t="shared" si="566"/>
        <v>0</v>
      </c>
      <c r="BE209" s="18">
        <f t="shared" si="566"/>
        <v>0</v>
      </c>
      <c r="BF209" s="18">
        <f t="shared" si="566"/>
        <v>0</v>
      </c>
      <c r="BG209" s="18">
        <f t="shared" si="566"/>
        <v>0</v>
      </c>
      <c r="BH209" s="18">
        <f t="shared" si="566"/>
        <v>0</v>
      </c>
      <c r="BI209" s="18">
        <f t="shared" si="566"/>
        <v>573343816</v>
      </c>
      <c r="BJ209" s="18">
        <f t="shared" ref="BJ209" si="567">SUM(BJ210:BJ211)</f>
        <v>0</v>
      </c>
      <c r="BK209" s="18">
        <f t="shared" si="566"/>
        <v>0</v>
      </c>
      <c r="BL209" s="18">
        <f t="shared" si="566"/>
        <v>0</v>
      </c>
      <c r="BM209" s="18">
        <f t="shared" ref="BM209" si="568">SUM(BM210:BM211)</f>
        <v>0</v>
      </c>
      <c r="BN209" s="18">
        <f t="shared" si="566"/>
        <v>0</v>
      </c>
      <c r="BO209" s="18">
        <f t="shared" si="566"/>
        <v>0</v>
      </c>
      <c r="BP209" s="18">
        <f t="shared" si="566"/>
        <v>0</v>
      </c>
      <c r="BQ209" s="18">
        <f t="shared" si="566"/>
        <v>0</v>
      </c>
      <c r="BR209" s="18">
        <f t="shared" si="566"/>
        <v>0</v>
      </c>
      <c r="BS209" s="18">
        <f t="shared" si="566"/>
        <v>0</v>
      </c>
      <c r="BT209" s="18">
        <f t="shared" si="566"/>
        <v>0</v>
      </c>
      <c r="BU209" s="18">
        <f t="shared" ref="BU209:CV209" si="569">SUM(BU210:BU211)</f>
        <v>0</v>
      </c>
      <c r="BV209" s="18">
        <f t="shared" si="569"/>
        <v>0</v>
      </c>
      <c r="BW209" s="18">
        <f t="shared" si="569"/>
        <v>0</v>
      </c>
      <c r="BX209" s="18">
        <f t="shared" si="569"/>
        <v>0</v>
      </c>
      <c r="BY209" s="18">
        <f t="shared" si="569"/>
        <v>0</v>
      </c>
      <c r="BZ209" s="18">
        <f t="shared" si="569"/>
        <v>0</v>
      </c>
      <c r="CA209" s="18">
        <f t="shared" si="569"/>
        <v>0</v>
      </c>
      <c r="CB209" s="18">
        <f t="shared" si="569"/>
        <v>0</v>
      </c>
      <c r="CC209" s="18">
        <f t="shared" si="569"/>
        <v>0</v>
      </c>
      <c r="CD209" s="18">
        <f t="shared" si="569"/>
        <v>0</v>
      </c>
      <c r="CE209" s="18">
        <f t="shared" si="569"/>
        <v>0</v>
      </c>
      <c r="CF209" s="18">
        <f t="shared" si="569"/>
        <v>0</v>
      </c>
      <c r="CG209" s="18">
        <f t="shared" ref="CG209:CH209" si="570">SUM(CG210:CG211)</f>
        <v>0</v>
      </c>
      <c r="CH209" s="18">
        <f t="shared" si="570"/>
        <v>0</v>
      </c>
      <c r="CI209" s="18">
        <f t="shared" si="569"/>
        <v>0</v>
      </c>
      <c r="CJ209" s="18">
        <f t="shared" ref="CJ209" si="571">SUM(CJ210:CJ211)</f>
        <v>0</v>
      </c>
      <c r="CK209" s="18">
        <f t="shared" si="569"/>
        <v>0</v>
      </c>
      <c r="CL209" s="18">
        <f t="shared" ref="CL209" si="572">SUM(CL210:CL211)</f>
        <v>0</v>
      </c>
      <c r="CM209" s="18">
        <f t="shared" si="569"/>
        <v>0</v>
      </c>
      <c r="CN209" s="18"/>
      <c r="CO209" s="18">
        <f t="shared" si="569"/>
        <v>0</v>
      </c>
      <c r="CP209" s="74"/>
      <c r="CQ209" s="74"/>
      <c r="CR209" s="74"/>
      <c r="CS209" s="18">
        <f t="shared" si="569"/>
        <v>0</v>
      </c>
      <c r="CT209" s="18">
        <f t="shared" si="569"/>
        <v>0</v>
      </c>
      <c r="CU209" s="18">
        <f t="shared" si="569"/>
        <v>0</v>
      </c>
      <c r="CV209" s="46">
        <f t="shared" si="569"/>
        <v>0</v>
      </c>
      <c r="CW209" s="57"/>
    </row>
    <row r="210" spans="1:101" ht="31.2" x14ac:dyDescent="0.3">
      <c r="A210" s="105" t="s">
        <v>1</v>
      </c>
      <c r="B210" s="34" t="s">
        <v>54</v>
      </c>
      <c r="C210" s="31" t="s">
        <v>277</v>
      </c>
      <c r="D210" s="19">
        <f>SUM(E210+BZ210+CS210)</f>
        <v>3930948</v>
      </c>
      <c r="E210" s="19">
        <f>SUM(F210+BA210)</f>
        <v>3930948</v>
      </c>
      <c r="F210" s="19">
        <f>SUM(G210+H210+I210+P210+S210+T210+U210+AE210+AD210)</f>
        <v>0</v>
      </c>
      <c r="G210" s="19">
        <v>0</v>
      </c>
      <c r="H210" s="19">
        <v>0</v>
      </c>
      <c r="I210" s="19">
        <f t="shared" si="307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308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ref="U210:U211" si="573">SUM(V210:AC210)</f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f>SUM(AF210:AZ210)</f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>SUM(BB210+BF210+BI210+BK210+BN210)</f>
        <v>3930948</v>
      </c>
      <c r="BB210" s="19">
        <f>SUM(BC210:BE210)</f>
        <v>3930948</v>
      </c>
      <c r="BC210" s="23">
        <f>1603344+2327604</f>
        <v>3930948</v>
      </c>
      <c r="BD210" s="19">
        <v>0</v>
      </c>
      <c r="BE210" s="19">
        <v>0</v>
      </c>
      <c r="BF210" s="19">
        <f>SUM(BH210:BH210)</f>
        <v>0</v>
      </c>
      <c r="BG210" s="19">
        <v>0</v>
      </c>
      <c r="BH210" s="19">
        <v>0</v>
      </c>
      <c r="BI210" s="19"/>
      <c r="BJ210" s="19">
        <v>0</v>
      </c>
      <c r="BK210" s="19">
        <f t="shared" si="310"/>
        <v>0</v>
      </c>
      <c r="BL210" s="19">
        <v>0</v>
      </c>
      <c r="BM210" s="19">
        <v>0</v>
      </c>
      <c r="BN210" s="19">
        <f>SUM(BO210:BY210)</f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>SUM(CA210+CO210)</f>
        <v>0</v>
      </c>
      <c r="CA210" s="19">
        <f>SUM(CB210+CE210+CK210)</f>
        <v>0</v>
      </c>
      <c r="CB210" s="19">
        <f t="shared" si="311"/>
        <v>0</v>
      </c>
      <c r="CC210" s="19">
        <v>0</v>
      </c>
      <c r="CD210" s="19">
        <v>0</v>
      </c>
      <c r="CE210" s="19">
        <f>SUM(CF210:CJ210)</f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>SUM(CL210:CN210)</f>
        <v>0</v>
      </c>
      <c r="CL210" s="19">
        <v>0</v>
      </c>
      <c r="CM210" s="19">
        <v>0</v>
      </c>
      <c r="CN210" s="19"/>
      <c r="CO210" s="19">
        <v>0</v>
      </c>
      <c r="CP210" s="75"/>
      <c r="CQ210" s="75"/>
      <c r="CR210" s="75"/>
      <c r="CS210" s="19">
        <f t="shared" si="313"/>
        <v>0</v>
      </c>
      <c r="CT210" s="19">
        <f t="shared" si="314"/>
        <v>0</v>
      </c>
      <c r="CU210" s="19">
        <v>0</v>
      </c>
      <c r="CV210" s="20">
        <v>0</v>
      </c>
      <c r="CW210" s="52"/>
    </row>
    <row r="211" spans="1:101" s="58" customFormat="1" ht="31.2" x14ac:dyDescent="0.3">
      <c r="A211" s="105" t="s">
        <v>1</v>
      </c>
      <c r="B211" s="34" t="s">
        <v>77</v>
      </c>
      <c r="C211" s="31" t="s">
        <v>448</v>
      </c>
      <c r="D211" s="19">
        <f>SUM(E211+BZ211+CS211)</f>
        <v>573343816</v>
      </c>
      <c r="E211" s="19">
        <f>SUM(F211+BA211)</f>
        <v>573343816</v>
      </c>
      <c r="F211" s="19">
        <f>SUM(G211+H211+I211+P211+S211+T211+U211+AE211+AD211)</f>
        <v>0</v>
      </c>
      <c r="G211" s="19">
        <v>0</v>
      </c>
      <c r="H211" s="19">
        <v>0</v>
      </c>
      <c r="I211" s="19">
        <f t="shared" si="307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308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573"/>
        <v>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f>SUM(AF211:AZ211)</f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>SUM(BB211+BF211+BI211+BK211+BN211)</f>
        <v>573343816</v>
      </c>
      <c r="BB211" s="19">
        <f>SUM(BC211:BE211)</f>
        <v>0</v>
      </c>
      <c r="BC211" s="19"/>
      <c r="BD211" s="19">
        <v>0</v>
      </c>
      <c r="BE211" s="19">
        <v>0</v>
      </c>
      <c r="BF211" s="19">
        <f>SUM(BH211:BH211)</f>
        <v>0</v>
      </c>
      <c r="BG211" s="19">
        <v>0</v>
      </c>
      <c r="BH211" s="19">
        <v>0</v>
      </c>
      <c r="BI211" s="23">
        <f>289058721+330648638-46363543</f>
        <v>573343816</v>
      </c>
      <c r="BJ211" s="19">
        <v>0</v>
      </c>
      <c r="BK211" s="19">
        <f t="shared" si="310"/>
        <v>0</v>
      </c>
      <c r="BL211" s="19">
        <v>0</v>
      </c>
      <c r="BM211" s="19">
        <v>0</v>
      </c>
      <c r="BN211" s="19">
        <f>SUM(BO211:BY211)</f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>SUM(CA211+CO211)</f>
        <v>0</v>
      </c>
      <c r="CA211" s="19">
        <f>SUM(CB211+CE211+CK211)</f>
        <v>0</v>
      </c>
      <c r="CB211" s="19">
        <f t="shared" si="311"/>
        <v>0</v>
      </c>
      <c r="CC211" s="19">
        <v>0</v>
      </c>
      <c r="CD211" s="19">
        <v>0</v>
      </c>
      <c r="CE211" s="19">
        <f>SUM(CF211:CJ211)</f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>SUM(CL211:CN211)</f>
        <v>0</v>
      </c>
      <c r="CL211" s="19">
        <v>0</v>
      </c>
      <c r="CM211" s="19">
        <v>0</v>
      </c>
      <c r="CN211" s="19"/>
      <c r="CO211" s="19">
        <v>0</v>
      </c>
      <c r="CP211" s="75"/>
      <c r="CQ211" s="75"/>
      <c r="CR211" s="75"/>
      <c r="CS211" s="19">
        <f t="shared" si="313"/>
        <v>0</v>
      </c>
      <c r="CT211" s="19">
        <f t="shared" si="314"/>
        <v>0</v>
      </c>
      <c r="CU211" s="19">
        <v>0</v>
      </c>
      <c r="CV211" s="20">
        <v>0</v>
      </c>
      <c r="CW211" s="52"/>
    </row>
    <row r="212" spans="1:101" s="58" customFormat="1" ht="15.6" x14ac:dyDescent="0.3">
      <c r="A212" s="106" t="s">
        <v>278</v>
      </c>
      <c r="B212" s="25" t="s">
        <v>1</v>
      </c>
      <c r="C212" s="26" t="s">
        <v>279</v>
      </c>
      <c r="D212" s="27">
        <f t="shared" ref="D212:AI212" si="574">SUM(D213+D215+D218+D256+D270+D272)</f>
        <v>471408408</v>
      </c>
      <c r="E212" s="27">
        <f t="shared" si="574"/>
        <v>269670549</v>
      </c>
      <c r="F212" s="27">
        <f t="shared" si="574"/>
        <v>254739539</v>
      </c>
      <c r="G212" s="27">
        <f t="shared" si="574"/>
        <v>111081123</v>
      </c>
      <c r="H212" s="27">
        <f t="shared" si="574"/>
        <v>22099457</v>
      </c>
      <c r="I212" s="27">
        <f t="shared" si="574"/>
        <v>48047924</v>
      </c>
      <c r="J212" s="27">
        <f t="shared" si="574"/>
        <v>14704083</v>
      </c>
      <c r="K212" s="27">
        <f t="shared" si="574"/>
        <v>1461033</v>
      </c>
      <c r="L212" s="27">
        <f t="shared" si="574"/>
        <v>2507182</v>
      </c>
      <c r="M212" s="27">
        <f t="shared" si="574"/>
        <v>20000</v>
      </c>
      <c r="N212" s="27">
        <f t="shared" si="574"/>
        <v>8885626</v>
      </c>
      <c r="O212" s="27">
        <f t="shared" si="574"/>
        <v>20470000</v>
      </c>
      <c r="P212" s="27">
        <f t="shared" si="574"/>
        <v>664914</v>
      </c>
      <c r="Q212" s="27">
        <f t="shared" si="574"/>
        <v>98031</v>
      </c>
      <c r="R212" s="27">
        <f t="shared" si="574"/>
        <v>566883</v>
      </c>
      <c r="S212" s="27">
        <f t="shared" si="574"/>
        <v>73517</v>
      </c>
      <c r="T212" s="27">
        <f t="shared" si="574"/>
        <v>1550370</v>
      </c>
      <c r="U212" s="27">
        <f t="shared" si="574"/>
        <v>13206159</v>
      </c>
      <c r="V212" s="27">
        <f t="shared" si="574"/>
        <v>3473587</v>
      </c>
      <c r="W212" s="27">
        <f t="shared" si="574"/>
        <v>5424228</v>
      </c>
      <c r="X212" s="27">
        <f t="shared" si="574"/>
        <v>1874678</v>
      </c>
      <c r="Y212" s="27">
        <f t="shared" si="574"/>
        <v>1345598</v>
      </c>
      <c r="Z212" s="27">
        <f t="shared" si="574"/>
        <v>754676</v>
      </c>
      <c r="AA212" s="27">
        <f t="shared" si="574"/>
        <v>137722</v>
      </c>
      <c r="AB212" s="27">
        <f t="shared" si="574"/>
        <v>0</v>
      </c>
      <c r="AC212" s="27">
        <f t="shared" si="574"/>
        <v>195670</v>
      </c>
      <c r="AD212" s="27">
        <f t="shared" si="574"/>
        <v>0</v>
      </c>
      <c r="AE212" s="27">
        <f t="shared" si="574"/>
        <v>58016075</v>
      </c>
      <c r="AF212" s="27">
        <f t="shared" si="574"/>
        <v>0</v>
      </c>
      <c r="AG212" s="27">
        <f t="shared" si="574"/>
        <v>0</v>
      </c>
      <c r="AH212" s="27">
        <f t="shared" si="574"/>
        <v>5903487</v>
      </c>
      <c r="AI212" s="27">
        <f t="shared" si="574"/>
        <v>7391671</v>
      </c>
      <c r="AJ212" s="27">
        <f t="shared" ref="AJ212:BO212" si="575">SUM(AJ213+AJ215+AJ218+AJ256+AJ270+AJ272)</f>
        <v>347041</v>
      </c>
      <c r="AK212" s="27">
        <f t="shared" si="575"/>
        <v>1149832</v>
      </c>
      <c r="AL212" s="27">
        <f t="shared" si="575"/>
        <v>5700</v>
      </c>
      <c r="AM212" s="27">
        <f t="shared" si="575"/>
        <v>324985</v>
      </c>
      <c r="AN212" s="27">
        <f t="shared" si="575"/>
        <v>2543989</v>
      </c>
      <c r="AO212" s="27">
        <f t="shared" si="575"/>
        <v>21833</v>
      </c>
      <c r="AP212" s="27">
        <f t="shared" si="575"/>
        <v>20600</v>
      </c>
      <c r="AQ212" s="27">
        <f t="shared" si="575"/>
        <v>7892843</v>
      </c>
      <c r="AR212" s="27">
        <f t="shared" si="575"/>
        <v>320288</v>
      </c>
      <c r="AS212" s="27">
        <f t="shared" si="575"/>
        <v>606080</v>
      </c>
      <c r="AT212" s="27">
        <f t="shared" si="575"/>
        <v>0</v>
      </c>
      <c r="AU212" s="27">
        <f t="shared" si="575"/>
        <v>3618</v>
      </c>
      <c r="AV212" s="27">
        <f t="shared" si="575"/>
        <v>0</v>
      </c>
      <c r="AW212" s="27">
        <f t="shared" si="575"/>
        <v>1230675</v>
      </c>
      <c r="AX212" s="27">
        <f t="shared" si="575"/>
        <v>443927</v>
      </c>
      <c r="AY212" s="27">
        <f t="shared" si="575"/>
        <v>285000</v>
      </c>
      <c r="AZ212" s="27">
        <f t="shared" si="575"/>
        <v>29524506</v>
      </c>
      <c r="BA212" s="27">
        <f t="shared" si="575"/>
        <v>14931010</v>
      </c>
      <c r="BB212" s="27">
        <f t="shared" si="575"/>
        <v>0</v>
      </c>
      <c r="BC212" s="27">
        <f t="shared" si="575"/>
        <v>0</v>
      </c>
      <c r="BD212" s="27">
        <f t="shared" si="575"/>
        <v>0</v>
      </c>
      <c r="BE212" s="27">
        <f t="shared" si="575"/>
        <v>0</v>
      </c>
      <c r="BF212" s="27">
        <f t="shared" si="575"/>
        <v>0</v>
      </c>
      <c r="BG212" s="27">
        <f t="shared" si="575"/>
        <v>0</v>
      </c>
      <c r="BH212" s="27">
        <f t="shared" si="575"/>
        <v>0</v>
      </c>
      <c r="BI212" s="27">
        <f t="shared" si="575"/>
        <v>14685577</v>
      </c>
      <c r="BJ212" s="27">
        <f t="shared" si="575"/>
        <v>509352</v>
      </c>
      <c r="BK212" s="27">
        <f t="shared" si="575"/>
        <v>0</v>
      </c>
      <c r="BL212" s="27">
        <f t="shared" si="575"/>
        <v>0</v>
      </c>
      <c r="BM212" s="27">
        <f t="shared" si="575"/>
        <v>0</v>
      </c>
      <c r="BN212" s="27">
        <f t="shared" si="575"/>
        <v>245433</v>
      </c>
      <c r="BO212" s="27">
        <f t="shared" si="575"/>
        <v>0</v>
      </c>
      <c r="BP212" s="27">
        <f t="shared" ref="BP212:CM212" si="576">SUM(BP213+BP215+BP218+BP256+BP270+BP272)</f>
        <v>0</v>
      </c>
      <c r="BQ212" s="27">
        <f t="shared" si="576"/>
        <v>0</v>
      </c>
      <c r="BR212" s="27">
        <f t="shared" si="576"/>
        <v>0</v>
      </c>
      <c r="BS212" s="27">
        <f t="shared" si="576"/>
        <v>0</v>
      </c>
      <c r="BT212" s="27">
        <f t="shared" si="576"/>
        <v>0</v>
      </c>
      <c r="BU212" s="27">
        <f t="shared" si="576"/>
        <v>0</v>
      </c>
      <c r="BV212" s="27">
        <f t="shared" si="576"/>
        <v>0</v>
      </c>
      <c r="BW212" s="27">
        <f t="shared" si="576"/>
        <v>0</v>
      </c>
      <c r="BX212" s="27">
        <f t="shared" si="576"/>
        <v>42689</v>
      </c>
      <c r="BY212" s="27">
        <f t="shared" si="576"/>
        <v>202744</v>
      </c>
      <c r="BZ212" s="27">
        <f t="shared" si="576"/>
        <v>134318474</v>
      </c>
      <c r="CA212" s="27">
        <f t="shared" si="576"/>
        <v>12095023</v>
      </c>
      <c r="CB212" s="27">
        <f t="shared" si="576"/>
        <v>10449975</v>
      </c>
      <c r="CC212" s="27">
        <f t="shared" si="576"/>
        <v>310560</v>
      </c>
      <c r="CD212" s="27">
        <f t="shared" si="576"/>
        <v>10139415</v>
      </c>
      <c r="CE212" s="27">
        <f t="shared" si="576"/>
        <v>352106</v>
      </c>
      <c r="CF212" s="27">
        <f t="shared" si="576"/>
        <v>0</v>
      </c>
      <c r="CG212" s="27">
        <f t="shared" si="576"/>
        <v>0</v>
      </c>
      <c r="CH212" s="27">
        <f t="shared" si="576"/>
        <v>0</v>
      </c>
      <c r="CI212" s="27">
        <f t="shared" si="576"/>
        <v>0</v>
      </c>
      <c r="CJ212" s="27">
        <f t="shared" si="576"/>
        <v>352106</v>
      </c>
      <c r="CK212" s="27">
        <f t="shared" si="576"/>
        <v>1292942</v>
      </c>
      <c r="CL212" s="27">
        <f t="shared" si="576"/>
        <v>300000</v>
      </c>
      <c r="CM212" s="27">
        <f t="shared" si="576"/>
        <v>992942</v>
      </c>
      <c r="CN212" s="27"/>
      <c r="CO212" s="27">
        <f>SUM(CO213+CO215+CO218+CO256+CO270+CO272)</f>
        <v>122223451</v>
      </c>
      <c r="CP212" s="27">
        <f t="shared" ref="CP212:CR212" si="577">SUM(CP213+CP215+CP218+CP256+CP270+CP272)</f>
        <v>67419385</v>
      </c>
      <c r="CQ212" s="27">
        <f t="shared" si="577"/>
        <v>67419385</v>
      </c>
      <c r="CR212" s="27">
        <f t="shared" si="577"/>
        <v>67419385</v>
      </c>
      <c r="CS212" s="27">
        <f>SUM(CS213+CS215+CS218+CS256+CS270+CS272)</f>
        <v>0</v>
      </c>
      <c r="CT212" s="27">
        <f>SUM(CT213+CT215+CT218+CT256+CT270+CT272)</f>
        <v>0</v>
      </c>
      <c r="CU212" s="27">
        <f>SUM(CU213+CU215+CU218+CU256+CU270+CU272)</f>
        <v>0</v>
      </c>
      <c r="CV212" s="60">
        <f>SUM(CV213+CV215+CV218+CV256+CV270+CV272)</f>
        <v>0</v>
      </c>
      <c r="CW212" s="57"/>
    </row>
    <row r="213" spans="1:101" ht="15.6" x14ac:dyDescent="0.3">
      <c r="A213" s="104" t="s">
        <v>280</v>
      </c>
      <c r="B213" s="16" t="s">
        <v>1</v>
      </c>
      <c r="C213" s="17" t="s">
        <v>281</v>
      </c>
      <c r="D213" s="18">
        <f>SUM(D214)</f>
        <v>18000000</v>
      </c>
      <c r="E213" s="18">
        <f t="shared" ref="E213:BT213" si="578">SUM(E214)</f>
        <v>0</v>
      </c>
      <c r="F213" s="18">
        <f t="shared" si="578"/>
        <v>0</v>
      </c>
      <c r="G213" s="18">
        <f t="shared" si="578"/>
        <v>0</v>
      </c>
      <c r="H213" s="18">
        <f t="shared" si="578"/>
        <v>0</v>
      </c>
      <c r="I213" s="18">
        <f t="shared" si="578"/>
        <v>0</v>
      </c>
      <c r="J213" s="18">
        <f t="shared" si="578"/>
        <v>0</v>
      </c>
      <c r="K213" s="18">
        <f t="shared" si="578"/>
        <v>0</v>
      </c>
      <c r="L213" s="18">
        <f t="shared" si="578"/>
        <v>0</v>
      </c>
      <c r="M213" s="18">
        <f t="shared" si="578"/>
        <v>0</v>
      </c>
      <c r="N213" s="18">
        <f t="shared" si="578"/>
        <v>0</v>
      </c>
      <c r="O213" s="18">
        <f t="shared" si="578"/>
        <v>0</v>
      </c>
      <c r="P213" s="18">
        <f t="shared" si="578"/>
        <v>0</v>
      </c>
      <c r="Q213" s="18">
        <f t="shared" si="578"/>
        <v>0</v>
      </c>
      <c r="R213" s="18">
        <f t="shared" si="578"/>
        <v>0</v>
      </c>
      <c r="S213" s="18">
        <f t="shared" si="578"/>
        <v>0</v>
      </c>
      <c r="T213" s="18">
        <f t="shared" si="578"/>
        <v>0</v>
      </c>
      <c r="U213" s="18">
        <f t="shared" si="578"/>
        <v>0</v>
      </c>
      <c r="V213" s="18">
        <f t="shared" si="578"/>
        <v>0</v>
      </c>
      <c r="W213" s="18">
        <f t="shared" si="578"/>
        <v>0</v>
      </c>
      <c r="X213" s="18">
        <f t="shared" si="578"/>
        <v>0</v>
      </c>
      <c r="Y213" s="18">
        <f t="shared" si="578"/>
        <v>0</v>
      </c>
      <c r="Z213" s="18">
        <f t="shared" si="578"/>
        <v>0</v>
      </c>
      <c r="AA213" s="18">
        <f t="shared" si="578"/>
        <v>0</v>
      </c>
      <c r="AB213" s="18">
        <f t="shared" si="578"/>
        <v>0</v>
      </c>
      <c r="AC213" s="18">
        <f t="shared" si="578"/>
        <v>0</v>
      </c>
      <c r="AD213" s="18">
        <f t="shared" si="578"/>
        <v>0</v>
      </c>
      <c r="AE213" s="18">
        <f t="shared" si="578"/>
        <v>0</v>
      </c>
      <c r="AF213" s="18">
        <f t="shared" si="578"/>
        <v>0</v>
      </c>
      <c r="AG213" s="18">
        <f t="shared" si="578"/>
        <v>0</v>
      </c>
      <c r="AH213" s="18">
        <f t="shared" si="578"/>
        <v>0</v>
      </c>
      <c r="AI213" s="18">
        <f t="shared" si="578"/>
        <v>0</v>
      </c>
      <c r="AJ213" s="18">
        <f t="shared" si="578"/>
        <v>0</v>
      </c>
      <c r="AK213" s="18">
        <f t="shared" si="578"/>
        <v>0</v>
      </c>
      <c r="AL213" s="18">
        <f t="shared" si="578"/>
        <v>0</v>
      </c>
      <c r="AM213" s="18">
        <f t="shared" si="578"/>
        <v>0</v>
      </c>
      <c r="AN213" s="18">
        <f t="shared" si="578"/>
        <v>0</v>
      </c>
      <c r="AO213" s="18">
        <f t="shared" si="578"/>
        <v>0</v>
      </c>
      <c r="AP213" s="18">
        <f t="shared" si="578"/>
        <v>0</v>
      </c>
      <c r="AQ213" s="18">
        <f t="shared" si="578"/>
        <v>0</v>
      </c>
      <c r="AR213" s="18">
        <f t="shared" si="578"/>
        <v>0</v>
      </c>
      <c r="AS213" s="18">
        <f t="shared" si="578"/>
        <v>0</v>
      </c>
      <c r="AT213" s="18"/>
      <c r="AU213" s="18"/>
      <c r="AV213" s="18">
        <f t="shared" si="578"/>
        <v>0</v>
      </c>
      <c r="AW213" s="18">
        <f t="shared" si="578"/>
        <v>0</v>
      </c>
      <c r="AX213" s="18">
        <f t="shared" si="578"/>
        <v>0</v>
      </c>
      <c r="AY213" s="18"/>
      <c r="AZ213" s="18">
        <f t="shared" si="578"/>
        <v>0</v>
      </c>
      <c r="BA213" s="18">
        <f t="shared" si="578"/>
        <v>0</v>
      </c>
      <c r="BB213" s="18">
        <f t="shared" si="578"/>
        <v>0</v>
      </c>
      <c r="BC213" s="18">
        <f t="shared" si="578"/>
        <v>0</v>
      </c>
      <c r="BD213" s="18">
        <f t="shared" si="578"/>
        <v>0</v>
      </c>
      <c r="BE213" s="18">
        <f t="shared" si="578"/>
        <v>0</v>
      </c>
      <c r="BF213" s="18">
        <f t="shared" si="578"/>
        <v>0</v>
      </c>
      <c r="BG213" s="18">
        <f t="shared" si="578"/>
        <v>0</v>
      </c>
      <c r="BH213" s="18">
        <f t="shared" si="578"/>
        <v>0</v>
      </c>
      <c r="BI213" s="18">
        <f t="shared" si="578"/>
        <v>0</v>
      </c>
      <c r="BJ213" s="18">
        <f t="shared" si="578"/>
        <v>0</v>
      </c>
      <c r="BK213" s="18">
        <f t="shared" si="578"/>
        <v>0</v>
      </c>
      <c r="BL213" s="18">
        <f t="shared" si="578"/>
        <v>0</v>
      </c>
      <c r="BM213" s="18">
        <f t="shared" si="578"/>
        <v>0</v>
      </c>
      <c r="BN213" s="18">
        <f t="shared" si="578"/>
        <v>0</v>
      </c>
      <c r="BO213" s="18">
        <f t="shared" si="578"/>
        <v>0</v>
      </c>
      <c r="BP213" s="18">
        <f t="shared" si="578"/>
        <v>0</v>
      </c>
      <c r="BQ213" s="18">
        <f t="shared" si="578"/>
        <v>0</v>
      </c>
      <c r="BR213" s="18">
        <f t="shared" si="578"/>
        <v>0</v>
      </c>
      <c r="BS213" s="18">
        <f t="shared" si="578"/>
        <v>0</v>
      </c>
      <c r="BT213" s="18">
        <f t="shared" si="578"/>
        <v>0</v>
      </c>
      <c r="BU213" s="18">
        <f t="shared" ref="BU213:CV213" si="579">SUM(BU214)</f>
        <v>0</v>
      </c>
      <c r="BV213" s="18">
        <f t="shared" si="579"/>
        <v>0</v>
      </c>
      <c r="BW213" s="18">
        <f t="shared" si="579"/>
        <v>0</v>
      </c>
      <c r="BX213" s="18">
        <f t="shared" si="579"/>
        <v>0</v>
      </c>
      <c r="BY213" s="18">
        <f t="shared" si="579"/>
        <v>0</v>
      </c>
      <c r="BZ213" s="18">
        <f t="shared" si="579"/>
        <v>18000000</v>
      </c>
      <c r="CA213" s="18">
        <f t="shared" si="579"/>
        <v>0</v>
      </c>
      <c r="CB213" s="18">
        <f t="shared" si="579"/>
        <v>0</v>
      </c>
      <c r="CC213" s="18">
        <f t="shared" si="579"/>
        <v>0</v>
      </c>
      <c r="CD213" s="18">
        <f t="shared" si="579"/>
        <v>0</v>
      </c>
      <c r="CE213" s="18">
        <f t="shared" si="579"/>
        <v>0</v>
      </c>
      <c r="CF213" s="18">
        <f t="shared" si="579"/>
        <v>0</v>
      </c>
      <c r="CG213" s="18">
        <f t="shared" si="579"/>
        <v>0</v>
      </c>
      <c r="CH213" s="18">
        <f t="shared" si="579"/>
        <v>0</v>
      </c>
      <c r="CI213" s="18">
        <f t="shared" si="579"/>
        <v>0</v>
      </c>
      <c r="CJ213" s="18">
        <f t="shared" si="579"/>
        <v>0</v>
      </c>
      <c r="CK213" s="18">
        <f t="shared" si="579"/>
        <v>0</v>
      </c>
      <c r="CL213" s="18">
        <f t="shared" si="579"/>
        <v>0</v>
      </c>
      <c r="CM213" s="18">
        <f t="shared" si="579"/>
        <v>0</v>
      </c>
      <c r="CN213" s="18"/>
      <c r="CO213" s="18">
        <f t="shared" si="579"/>
        <v>18000000</v>
      </c>
      <c r="CP213" s="74"/>
      <c r="CQ213" s="74"/>
      <c r="CR213" s="74"/>
      <c r="CS213" s="18">
        <f t="shared" si="579"/>
        <v>0</v>
      </c>
      <c r="CT213" s="18">
        <f t="shared" si="579"/>
        <v>0</v>
      </c>
      <c r="CU213" s="18">
        <f t="shared" si="579"/>
        <v>0</v>
      </c>
      <c r="CV213" s="46">
        <f t="shared" si="579"/>
        <v>0</v>
      </c>
      <c r="CW213" s="57"/>
    </row>
    <row r="214" spans="1:101" s="58" customFormat="1" ht="15.6" x14ac:dyDescent="0.3">
      <c r="A214" s="105" t="s">
        <v>1</v>
      </c>
      <c r="B214" s="21" t="s">
        <v>282</v>
      </c>
      <c r="C214" s="22" t="s">
        <v>281</v>
      </c>
      <c r="D214" s="19">
        <f>SUM(E214+BZ214+CS214)</f>
        <v>18000000</v>
      </c>
      <c r="E214" s="19">
        <f>SUM(F214+BA214)</f>
        <v>0</v>
      </c>
      <c r="F214" s="19">
        <f>SUM(G214+H214+I214+P214+S214+T214+U214+AE214+AD214)</f>
        <v>0</v>
      </c>
      <c r="G214" s="19">
        <v>0</v>
      </c>
      <c r="H214" s="19">
        <v>0</v>
      </c>
      <c r="I214" s="19">
        <f t="shared" si="307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308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ref="U214" si="580">SUM(V214:AC214)</f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f>SUM(AF214:AZ214)</f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/>
      <c r="AU214" s="19"/>
      <c r="AV214" s="19">
        <v>0</v>
      </c>
      <c r="AW214" s="19">
        <v>0</v>
      </c>
      <c r="AX214" s="19">
        <v>0</v>
      </c>
      <c r="AY214" s="19"/>
      <c r="AZ214" s="19">
        <v>0</v>
      </c>
      <c r="BA214" s="19">
        <f>SUM(BB214+BF214+BI214+BK214+BN214)</f>
        <v>0</v>
      </c>
      <c r="BB214" s="19">
        <f>SUM(BC214:BE214)</f>
        <v>0</v>
      </c>
      <c r="BC214" s="19">
        <v>0</v>
      </c>
      <c r="BD214" s="19">
        <v>0</v>
      </c>
      <c r="BE214" s="19">
        <v>0</v>
      </c>
      <c r="BF214" s="19">
        <f>SUM(BH214:BH214)</f>
        <v>0</v>
      </c>
      <c r="BG214" s="19">
        <v>0</v>
      </c>
      <c r="BH214" s="19">
        <v>0</v>
      </c>
      <c r="BI214" s="19">
        <v>0</v>
      </c>
      <c r="BJ214" s="19">
        <v>0</v>
      </c>
      <c r="BK214" s="19">
        <f t="shared" si="310"/>
        <v>0</v>
      </c>
      <c r="BL214" s="19">
        <v>0</v>
      </c>
      <c r="BM214" s="19">
        <v>0</v>
      </c>
      <c r="BN214" s="19">
        <f>SUM(BO214:BY214)</f>
        <v>0</v>
      </c>
      <c r="BO214" s="19"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f>SUM(CA214+CO214)</f>
        <v>18000000</v>
      </c>
      <c r="CA214" s="19">
        <f>SUM(CB214+CE214+CK214)</f>
        <v>0</v>
      </c>
      <c r="CB214" s="19">
        <f t="shared" si="311"/>
        <v>0</v>
      </c>
      <c r="CC214" s="19">
        <v>0</v>
      </c>
      <c r="CD214" s="19">
        <v>0</v>
      </c>
      <c r="CE214" s="19">
        <f>SUM(CF214:CJ214)</f>
        <v>0</v>
      </c>
      <c r="CF214" s="19"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f>SUM(CL214:CN214)</f>
        <v>0</v>
      </c>
      <c r="CL214" s="19">
        <v>0</v>
      </c>
      <c r="CM214" s="19">
        <v>0</v>
      </c>
      <c r="CN214" s="19"/>
      <c r="CO214" s="19">
        <v>18000000</v>
      </c>
      <c r="CP214" s="75"/>
      <c r="CQ214" s="75"/>
      <c r="CR214" s="75"/>
      <c r="CS214" s="19">
        <f t="shared" si="313"/>
        <v>0</v>
      </c>
      <c r="CT214" s="19">
        <f t="shared" si="314"/>
        <v>0</v>
      </c>
      <c r="CU214" s="19">
        <v>0</v>
      </c>
      <c r="CV214" s="20">
        <v>0</v>
      </c>
      <c r="CW214" s="52"/>
    </row>
    <row r="215" spans="1:101" ht="15.6" x14ac:dyDescent="0.3">
      <c r="A215" s="104" t="s">
        <v>283</v>
      </c>
      <c r="B215" s="16" t="s">
        <v>1</v>
      </c>
      <c r="C215" s="17" t="s">
        <v>284</v>
      </c>
      <c r="D215" s="18">
        <f>SUM(D217:D217)+D216</f>
        <v>13990982</v>
      </c>
      <c r="E215" s="18">
        <f t="shared" ref="E215:BP215" si="581">SUM(E217:E217)+E216</f>
        <v>13990982</v>
      </c>
      <c r="F215" s="18">
        <f t="shared" si="581"/>
        <v>13987148</v>
      </c>
      <c r="G215" s="18">
        <f t="shared" si="581"/>
        <v>1100522</v>
      </c>
      <c r="H215" s="18">
        <f t="shared" si="581"/>
        <v>267614</v>
      </c>
      <c r="I215" s="18">
        <f t="shared" si="581"/>
        <v>124768</v>
      </c>
      <c r="J215" s="18">
        <f t="shared" si="581"/>
        <v>0</v>
      </c>
      <c r="K215" s="18">
        <f t="shared" si="581"/>
        <v>0</v>
      </c>
      <c r="L215" s="18">
        <f t="shared" si="581"/>
        <v>0</v>
      </c>
      <c r="M215" s="18">
        <f t="shared" si="581"/>
        <v>0</v>
      </c>
      <c r="N215" s="18">
        <f t="shared" si="581"/>
        <v>64183</v>
      </c>
      <c r="O215" s="18">
        <f t="shared" si="581"/>
        <v>60585</v>
      </c>
      <c r="P215" s="18">
        <f t="shared" si="581"/>
        <v>0</v>
      </c>
      <c r="Q215" s="18">
        <f t="shared" si="581"/>
        <v>0</v>
      </c>
      <c r="R215" s="18">
        <f t="shared" si="581"/>
        <v>0</v>
      </c>
      <c r="S215" s="18">
        <f t="shared" si="581"/>
        <v>0</v>
      </c>
      <c r="T215" s="18">
        <f t="shared" si="581"/>
        <v>20039</v>
      </c>
      <c r="U215" s="18">
        <f t="shared" si="581"/>
        <v>47590</v>
      </c>
      <c r="V215" s="18">
        <f t="shared" si="581"/>
        <v>0</v>
      </c>
      <c r="W215" s="18">
        <f t="shared" si="581"/>
        <v>32299</v>
      </c>
      <c r="X215" s="18">
        <f t="shared" si="581"/>
        <v>13354</v>
      </c>
      <c r="Y215" s="18">
        <f t="shared" si="581"/>
        <v>1937</v>
      </c>
      <c r="Z215" s="18">
        <f t="shared" si="581"/>
        <v>0</v>
      </c>
      <c r="AA215" s="18">
        <f t="shared" si="581"/>
        <v>0</v>
      </c>
      <c r="AB215" s="18">
        <f t="shared" si="581"/>
        <v>0</v>
      </c>
      <c r="AC215" s="18">
        <f t="shared" si="581"/>
        <v>0</v>
      </c>
      <c r="AD215" s="18">
        <f t="shared" si="581"/>
        <v>0</v>
      </c>
      <c r="AE215" s="18">
        <f t="shared" si="581"/>
        <v>12426615</v>
      </c>
      <c r="AF215" s="18">
        <f t="shared" si="581"/>
        <v>0</v>
      </c>
      <c r="AG215" s="18">
        <f t="shared" si="581"/>
        <v>0</v>
      </c>
      <c r="AH215" s="18">
        <f t="shared" si="581"/>
        <v>20000</v>
      </c>
      <c r="AI215" s="18">
        <f t="shared" si="581"/>
        <v>0</v>
      </c>
      <c r="AJ215" s="18">
        <f t="shared" si="581"/>
        <v>0</v>
      </c>
      <c r="AK215" s="18">
        <f t="shared" si="581"/>
        <v>569</v>
      </c>
      <c r="AL215" s="18">
        <f t="shared" si="581"/>
        <v>0</v>
      </c>
      <c r="AM215" s="18">
        <f t="shared" si="581"/>
        <v>0</v>
      </c>
      <c r="AN215" s="18">
        <f t="shared" si="581"/>
        <v>0</v>
      </c>
      <c r="AO215" s="18">
        <f t="shared" si="581"/>
        <v>6833</v>
      </c>
      <c r="AP215" s="18">
        <f t="shared" si="581"/>
        <v>0</v>
      </c>
      <c r="AQ215" s="18">
        <f t="shared" si="581"/>
        <v>0</v>
      </c>
      <c r="AR215" s="18">
        <f t="shared" si="581"/>
        <v>105288</v>
      </c>
      <c r="AS215" s="18">
        <f t="shared" si="581"/>
        <v>1611</v>
      </c>
      <c r="AT215" s="18">
        <f t="shared" si="581"/>
        <v>0</v>
      </c>
      <c r="AU215" s="18">
        <f t="shared" si="581"/>
        <v>0</v>
      </c>
      <c r="AV215" s="18">
        <f t="shared" si="581"/>
        <v>0</v>
      </c>
      <c r="AW215" s="18">
        <f t="shared" si="581"/>
        <v>0</v>
      </c>
      <c r="AX215" s="18">
        <f t="shared" si="581"/>
        <v>12000</v>
      </c>
      <c r="AY215" s="18">
        <f t="shared" si="581"/>
        <v>185000</v>
      </c>
      <c r="AZ215" s="18">
        <f t="shared" si="581"/>
        <v>12095314</v>
      </c>
      <c r="BA215" s="18">
        <f t="shared" si="581"/>
        <v>3834</v>
      </c>
      <c r="BB215" s="18">
        <f t="shared" si="581"/>
        <v>0</v>
      </c>
      <c r="BC215" s="18">
        <f t="shared" si="581"/>
        <v>0</v>
      </c>
      <c r="BD215" s="18">
        <f t="shared" si="581"/>
        <v>0</v>
      </c>
      <c r="BE215" s="18">
        <f t="shared" si="581"/>
        <v>0</v>
      </c>
      <c r="BF215" s="18">
        <f t="shared" si="581"/>
        <v>0</v>
      </c>
      <c r="BG215" s="18">
        <f t="shared" si="581"/>
        <v>0</v>
      </c>
      <c r="BH215" s="18">
        <f t="shared" si="581"/>
        <v>0</v>
      </c>
      <c r="BI215" s="18">
        <f t="shared" si="581"/>
        <v>0</v>
      </c>
      <c r="BJ215" s="18">
        <f t="shared" si="581"/>
        <v>0</v>
      </c>
      <c r="BK215" s="18">
        <f t="shared" si="581"/>
        <v>0</v>
      </c>
      <c r="BL215" s="18">
        <f t="shared" si="581"/>
        <v>0</v>
      </c>
      <c r="BM215" s="18">
        <f t="shared" si="581"/>
        <v>0</v>
      </c>
      <c r="BN215" s="18">
        <f t="shared" si="581"/>
        <v>3834</v>
      </c>
      <c r="BO215" s="18">
        <f t="shared" si="581"/>
        <v>0</v>
      </c>
      <c r="BP215" s="18">
        <f t="shared" si="581"/>
        <v>0</v>
      </c>
      <c r="BQ215" s="18">
        <f t="shared" ref="BQ215:CO215" si="582">SUM(BQ217:BQ217)+BQ216</f>
        <v>0</v>
      </c>
      <c r="BR215" s="18">
        <f t="shared" si="582"/>
        <v>0</v>
      </c>
      <c r="BS215" s="18">
        <f t="shared" si="582"/>
        <v>0</v>
      </c>
      <c r="BT215" s="18">
        <f t="shared" si="582"/>
        <v>0</v>
      </c>
      <c r="BU215" s="18">
        <f t="shared" si="582"/>
        <v>0</v>
      </c>
      <c r="BV215" s="18">
        <f t="shared" si="582"/>
        <v>0</v>
      </c>
      <c r="BW215" s="18">
        <f t="shared" si="582"/>
        <v>0</v>
      </c>
      <c r="BX215" s="18">
        <f t="shared" si="582"/>
        <v>3834</v>
      </c>
      <c r="BY215" s="18">
        <f t="shared" si="582"/>
        <v>0</v>
      </c>
      <c r="BZ215" s="18">
        <f t="shared" si="582"/>
        <v>0</v>
      </c>
      <c r="CA215" s="18">
        <f t="shared" si="582"/>
        <v>0</v>
      </c>
      <c r="CB215" s="18">
        <f t="shared" si="582"/>
        <v>0</v>
      </c>
      <c r="CC215" s="18">
        <f t="shared" si="582"/>
        <v>0</v>
      </c>
      <c r="CD215" s="18">
        <f t="shared" si="582"/>
        <v>0</v>
      </c>
      <c r="CE215" s="18">
        <f t="shared" si="582"/>
        <v>0</v>
      </c>
      <c r="CF215" s="18">
        <f t="shared" si="582"/>
        <v>0</v>
      </c>
      <c r="CG215" s="18">
        <f t="shared" si="582"/>
        <v>0</v>
      </c>
      <c r="CH215" s="18">
        <f t="shared" si="582"/>
        <v>0</v>
      </c>
      <c r="CI215" s="18">
        <f t="shared" si="582"/>
        <v>0</v>
      </c>
      <c r="CJ215" s="18">
        <f t="shared" si="582"/>
        <v>0</v>
      </c>
      <c r="CK215" s="18">
        <f t="shared" si="582"/>
        <v>0</v>
      </c>
      <c r="CL215" s="18">
        <f t="shared" si="582"/>
        <v>0</v>
      </c>
      <c r="CM215" s="18">
        <f t="shared" si="582"/>
        <v>0</v>
      </c>
      <c r="CN215" s="18">
        <f t="shared" si="582"/>
        <v>0</v>
      </c>
      <c r="CO215" s="18">
        <f t="shared" si="582"/>
        <v>0</v>
      </c>
      <c r="CP215" s="74"/>
      <c r="CQ215" s="74"/>
      <c r="CR215" s="74"/>
      <c r="CS215" s="18">
        <f t="shared" ref="CS215:CV215" si="583">SUM(CS217:CS217)</f>
        <v>0</v>
      </c>
      <c r="CT215" s="18">
        <f t="shared" si="583"/>
        <v>0</v>
      </c>
      <c r="CU215" s="18">
        <f t="shared" si="583"/>
        <v>0</v>
      </c>
      <c r="CV215" s="46">
        <f t="shared" si="583"/>
        <v>0</v>
      </c>
      <c r="CW215" s="57"/>
    </row>
    <row r="216" spans="1:101" s="52" customFormat="1" ht="15.6" x14ac:dyDescent="0.3">
      <c r="A216" s="105"/>
      <c r="B216" s="21" t="s">
        <v>285</v>
      </c>
      <c r="C216" s="22" t="s">
        <v>546</v>
      </c>
      <c r="D216" s="19">
        <f>SUM(E216+BZ216+CS216)</f>
        <v>12080496</v>
      </c>
      <c r="E216" s="39">
        <f>SUM(F216+BA216)</f>
        <v>12080496</v>
      </c>
      <c r="F216" s="39">
        <f>SUM(G216+H216+I216+P216+S216+T216+U216+AE216+AD216)</f>
        <v>12080496</v>
      </c>
      <c r="G216" s="19"/>
      <c r="H216" s="19"/>
      <c r="I216" s="39">
        <f t="shared" ref="I216:I276" si="584">SUM(J216:O216)</f>
        <v>0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39">
        <f>SUM(AF216:AZ216)</f>
        <v>12080496</v>
      </c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>
        <v>12080496</v>
      </c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75"/>
      <c r="CQ216" s="75"/>
      <c r="CR216" s="75"/>
      <c r="CS216" s="19"/>
      <c r="CT216" s="19"/>
      <c r="CU216" s="19"/>
      <c r="CV216" s="20"/>
    </row>
    <row r="217" spans="1:101" s="58" customFormat="1" ht="15.6" x14ac:dyDescent="0.3">
      <c r="A217" s="108" t="s">
        <v>1</v>
      </c>
      <c r="B217" s="36" t="s">
        <v>285</v>
      </c>
      <c r="C217" s="37" t="s">
        <v>286</v>
      </c>
      <c r="D217" s="39">
        <f>SUM(E217+BZ217+CS217)</f>
        <v>1910486</v>
      </c>
      <c r="E217" s="39">
        <f>SUM(F217+BA217)</f>
        <v>1910486</v>
      </c>
      <c r="F217" s="39">
        <f>SUM(G217+H217+I217+P217+S217+T217+U217+AE217+AD217)</f>
        <v>1906652</v>
      </c>
      <c r="G217" s="35">
        <v>1100522</v>
      </c>
      <c r="H217" s="35">
        <v>267614</v>
      </c>
      <c r="I217" s="39">
        <f t="shared" si="584"/>
        <v>124768</v>
      </c>
      <c r="J217" s="39">
        <v>0</v>
      </c>
      <c r="K217" s="39">
        <v>0</v>
      </c>
      <c r="L217" s="39">
        <v>0</v>
      </c>
      <c r="M217" s="39">
        <v>0</v>
      </c>
      <c r="N217" s="35">
        <v>64183</v>
      </c>
      <c r="O217" s="35">
        <v>60585</v>
      </c>
      <c r="P217" s="39">
        <f t="shared" ref="P217:P276" si="585">SUM(Q217:R217)</f>
        <v>0</v>
      </c>
      <c r="Q217" s="39">
        <v>0</v>
      </c>
      <c r="R217" s="35"/>
      <c r="S217" s="35">
        <v>0</v>
      </c>
      <c r="T217" s="35">
        <v>20039</v>
      </c>
      <c r="U217" s="39">
        <f t="shared" ref="U217" si="586">SUM(V217:AC217)</f>
        <v>47590</v>
      </c>
      <c r="V217" s="35"/>
      <c r="W217" s="35">
        <v>32299</v>
      </c>
      <c r="X217" s="35">
        <v>13354</v>
      </c>
      <c r="Y217" s="35">
        <v>1937</v>
      </c>
      <c r="Z217" s="35"/>
      <c r="AA217" s="35"/>
      <c r="AB217" s="35"/>
      <c r="AC217" s="35"/>
      <c r="AD217" s="35">
        <v>0</v>
      </c>
      <c r="AE217" s="39">
        <f>SUM(AF217:AZ217)</f>
        <v>346119</v>
      </c>
      <c r="AF217" s="39">
        <v>0</v>
      </c>
      <c r="AG217" s="39">
        <v>0</v>
      </c>
      <c r="AH217" s="35">
        <v>20000</v>
      </c>
      <c r="AI217" s="35">
        <v>0</v>
      </c>
      <c r="AJ217" s="35">
        <v>0</v>
      </c>
      <c r="AK217" s="35">
        <v>569</v>
      </c>
      <c r="AL217" s="35">
        <v>0</v>
      </c>
      <c r="AM217" s="35">
        <v>0</v>
      </c>
      <c r="AN217" s="35">
        <v>0</v>
      </c>
      <c r="AO217" s="35">
        <v>6833</v>
      </c>
      <c r="AP217" s="35">
        <v>0</v>
      </c>
      <c r="AQ217" s="35">
        <v>0</v>
      </c>
      <c r="AR217" s="35">
        <v>105288</v>
      </c>
      <c r="AS217" s="35">
        <v>1611</v>
      </c>
      <c r="AT217" s="35">
        <v>0</v>
      </c>
      <c r="AU217" s="35">
        <v>0</v>
      </c>
      <c r="AV217" s="35">
        <v>0</v>
      </c>
      <c r="AW217" s="35">
        <v>0</v>
      </c>
      <c r="AX217" s="35">
        <v>12000</v>
      </c>
      <c r="AY217" s="35">
        <v>185000</v>
      </c>
      <c r="AZ217" s="35">
        <v>14818</v>
      </c>
      <c r="BA217" s="39">
        <f>SUM(BB217+BF217+BI217+BK217+BN217)</f>
        <v>3834</v>
      </c>
      <c r="BB217" s="39">
        <f>SUM(BC217:BE217)</f>
        <v>0</v>
      </c>
      <c r="BC217" s="39">
        <v>0</v>
      </c>
      <c r="BD217" s="39">
        <v>0</v>
      </c>
      <c r="BE217" s="39">
        <v>0</v>
      </c>
      <c r="BF217" s="39">
        <f>SUM(BH217:BH217)</f>
        <v>0</v>
      </c>
      <c r="BG217" s="39">
        <v>0</v>
      </c>
      <c r="BH217" s="39">
        <v>0</v>
      </c>
      <c r="BI217" s="39">
        <v>0</v>
      </c>
      <c r="BJ217" s="39">
        <v>0</v>
      </c>
      <c r="BK217" s="39">
        <f t="shared" ref="BK217:BK276" si="587">SUM(BL217)</f>
        <v>0</v>
      </c>
      <c r="BL217" s="39">
        <v>0</v>
      </c>
      <c r="BM217" s="39">
        <v>0</v>
      </c>
      <c r="BN217" s="39">
        <f>SUM(BO217:BY217)</f>
        <v>3834</v>
      </c>
      <c r="BO217" s="39">
        <v>0</v>
      </c>
      <c r="BP217" s="39">
        <v>0</v>
      </c>
      <c r="BQ217" s="39">
        <v>0</v>
      </c>
      <c r="BR217" s="39">
        <v>0</v>
      </c>
      <c r="BS217" s="39">
        <v>0</v>
      </c>
      <c r="BT217" s="39">
        <v>0</v>
      </c>
      <c r="BU217" s="39">
        <v>0</v>
      </c>
      <c r="BV217" s="39">
        <v>0</v>
      </c>
      <c r="BW217" s="39">
        <v>0</v>
      </c>
      <c r="BX217" s="39">
        <v>3834</v>
      </c>
      <c r="BY217" s="39">
        <v>0</v>
      </c>
      <c r="BZ217" s="39">
        <f>SUM(CA217+CO217)</f>
        <v>0</v>
      </c>
      <c r="CA217" s="39">
        <f>SUM(CB217+CE217+CK217)</f>
        <v>0</v>
      </c>
      <c r="CB217" s="39">
        <f t="shared" ref="CB217:CB276" si="588">SUM(CC217:CD217)</f>
        <v>0</v>
      </c>
      <c r="CC217" s="39">
        <v>0</v>
      </c>
      <c r="CD217" s="35"/>
      <c r="CE217" s="39">
        <f>SUM(CF217:CJ217)</f>
        <v>0</v>
      </c>
      <c r="CF217" s="39">
        <v>0</v>
      </c>
      <c r="CG217" s="39">
        <v>0</v>
      </c>
      <c r="CH217" s="39">
        <v>0</v>
      </c>
      <c r="CI217" s="39">
        <v>0</v>
      </c>
      <c r="CJ217" s="39">
        <v>0</v>
      </c>
      <c r="CK217" s="39">
        <f>SUM(CL217:CN217)</f>
        <v>0</v>
      </c>
      <c r="CL217" s="39">
        <v>0</v>
      </c>
      <c r="CM217" s="39"/>
      <c r="CN217" s="39"/>
      <c r="CO217" s="39">
        <v>0</v>
      </c>
      <c r="CP217" s="75"/>
      <c r="CQ217" s="75"/>
      <c r="CR217" s="75"/>
      <c r="CS217" s="39">
        <f t="shared" ref="CS217:CS276" si="589">SUM(CT217)</f>
        <v>0</v>
      </c>
      <c r="CT217" s="39">
        <f t="shared" ref="CT217:CT276" si="590">SUM(CU217:CV217)</f>
        <v>0</v>
      </c>
      <c r="CU217" s="39">
        <v>0</v>
      </c>
      <c r="CV217" s="41">
        <v>0</v>
      </c>
      <c r="CW217" s="52"/>
    </row>
    <row r="218" spans="1:101" ht="31.2" x14ac:dyDescent="0.3">
      <c r="A218" s="104" t="s">
        <v>287</v>
      </c>
      <c r="B218" s="16" t="s">
        <v>1</v>
      </c>
      <c r="C218" s="17" t="s">
        <v>561</v>
      </c>
      <c r="D218" s="18">
        <f>SUM(D219:D231)</f>
        <v>329878207</v>
      </c>
      <c r="E218" s="18">
        <f t="shared" ref="E218:AI218" si="591">SUM(E219:E231)</f>
        <v>250363799</v>
      </c>
      <c r="F218" s="18">
        <f t="shared" si="591"/>
        <v>238790924</v>
      </c>
      <c r="G218" s="18">
        <f t="shared" si="591"/>
        <v>109980601</v>
      </c>
      <c r="H218" s="18">
        <f t="shared" si="591"/>
        <v>21831843</v>
      </c>
      <c r="I218" s="18">
        <f t="shared" si="591"/>
        <v>47923156</v>
      </c>
      <c r="J218" s="18">
        <f t="shared" si="591"/>
        <v>14704083</v>
      </c>
      <c r="K218" s="18">
        <f t="shared" si="591"/>
        <v>1461033</v>
      </c>
      <c r="L218" s="18">
        <f t="shared" si="591"/>
        <v>2507182</v>
      </c>
      <c r="M218" s="18">
        <f t="shared" si="591"/>
        <v>20000</v>
      </c>
      <c r="N218" s="18">
        <f t="shared" si="591"/>
        <v>8821443</v>
      </c>
      <c r="O218" s="18">
        <f t="shared" si="591"/>
        <v>20409415</v>
      </c>
      <c r="P218" s="18">
        <f t="shared" si="591"/>
        <v>664914</v>
      </c>
      <c r="Q218" s="18">
        <f t="shared" si="591"/>
        <v>98031</v>
      </c>
      <c r="R218" s="18">
        <f t="shared" si="591"/>
        <v>566883</v>
      </c>
      <c r="S218" s="18">
        <f t="shared" si="591"/>
        <v>73517</v>
      </c>
      <c r="T218" s="18">
        <f t="shared" si="591"/>
        <v>1530331</v>
      </c>
      <c r="U218" s="18">
        <f t="shared" si="591"/>
        <v>13158569</v>
      </c>
      <c r="V218" s="18">
        <f t="shared" si="591"/>
        <v>3473587</v>
      </c>
      <c r="W218" s="18">
        <f t="shared" si="591"/>
        <v>5391929</v>
      </c>
      <c r="X218" s="18">
        <f t="shared" si="591"/>
        <v>1861324</v>
      </c>
      <c r="Y218" s="18">
        <f t="shared" si="591"/>
        <v>1343661</v>
      </c>
      <c r="Z218" s="18">
        <f t="shared" si="591"/>
        <v>754676</v>
      </c>
      <c r="AA218" s="18">
        <f t="shared" si="591"/>
        <v>137722</v>
      </c>
      <c r="AB218" s="18">
        <f t="shared" si="591"/>
        <v>0</v>
      </c>
      <c r="AC218" s="18">
        <f t="shared" si="591"/>
        <v>195670</v>
      </c>
      <c r="AD218" s="18">
        <f t="shared" si="591"/>
        <v>0</v>
      </c>
      <c r="AE218" s="18">
        <f t="shared" si="591"/>
        <v>43627993</v>
      </c>
      <c r="AF218" s="18">
        <f t="shared" si="591"/>
        <v>0</v>
      </c>
      <c r="AG218" s="18">
        <f t="shared" si="591"/>
        <v>0</v>
      </c>
      <c r="AH218" s="18">
        <f t="shared" si="591"/>
        <v>5883487</v>
      </c>
      <c r="AI218" s="18">
        <f t="shared" si="591"/>
        <v>7391671</v>
      </c>
      <c r="AJ218" s="18">
        <f t="shared" ref="AJ218:BO218" si="592">SUM(AJ219:AJ231)</f>
        <v>347041</v>
      </c>
      <c r="AK218" s="18">
        <f t="shared" si="592"/>
        <v>1149263</v>
      </c>
      <c r="AL218" s="18">
        <f t="shared" si="592"/>
        <v>5700</v>
      </c>
      <c r="AM218" s="18">
        <f t="shared" si="592"/>
        <v>324985</v>
      </c>
      <c r="AN218" s="18">
        <f t="shared" si="592"/>
        <v>2543989</v>
      </c>
      <c r="AO218" s="18">
        <f t="shared" si="592"/>
        <v>15000</v>
      </c>
      <c r="AP218" s="18">
        <f t="shared" si="592"/>
        <v>20600</v>
      </c>
      <c r="AQ218" s="18">
        <f t="shared" si="592"/>
        <v>7892843</v>
      </c>
      <c r="AR218" s="18">
        <f t="shared" si="592"/>
        <v>215000</v>
      </c>
      <c r="AS218" s="18">
        <f t="shared" si="592"/>
        <v>604469</v>
      </c>
      <c r="AT218" s="18">
        <f t="shared" si="592"/>
        <v>0</v>
      </c>
      <c r="AU218" s="18">
        <f t="shared" si="592"/>
        <v>3618</v>
      </c>
      <c r="AV218" s="18">
        <f t="shared" si="592"/>
        <v>0</v>
      </c>
      <c r="AW218" s="18">
        <f t="shared" si="592"/>
        <v>1230675</v>
      </c>
      <c r="AX218" s="18">
        <f t="shared" si="592"/>
        <v>431927</v>
      </c>
      <c r="AY218" s="18">
        <f t="shared" si="592"/>
        <v>100000</v>
      </c>
      <c r="AZ218" s="18">
        <f t="shared" si="592"/>
        <v>15467725</v>
      </c>
      <c r="BA218" s="18">
        <f t="shared" si="592"/>
        <v>11572875</v>
      </c>
      <c r="BB218" s="18">
        <f t="shared" si="592"/>
        <v>0</v>
      </c>
      <c r="BC218" s="18">
        <f t="shared" si="592"/>
        <v>0</v>
      </c>
      <c r="BD218" s="18">
        <f t="shared" si="592"/>
        <v>0</v>
      </c>
      <c r="BE218" s="18">
        <f t="shared" si="592"/>
        <v>0</v>
      </c>
      <c r="BF218" s="18">
        <f t="shared" si="592"/>
        <v>0</v>
      </c>
      <c r="BG218" s="18">
        <f t="shared" si="592"/>
        <v>0</v>
      </c>
      <c r="BH218" s="18">
        <f t="shared" si="592"/>
        <v>0</v>
      </c>
      <c r="BI218" s="18">
        <f t="shared" si="592"/>
        <v>11331276</v>
      </c>
      <c r="BJ218" s="18">
        <f t="shared" si="592"/>
        <v>509352</v>
      </c>
      <c r="BK218" s="18">
        <f t="shared" si="592"/>
        <v>0</v>
      </c>
      <c r="BL218" s="18">
        <f t="shared" si="592"/>
        <v>0</v>
      </c>
      <c r="BM218" s="18">
        <f t="shared" si="592"/>
        <v>0</v>
      </c>
      <c r="BN218" s="18">
        <f t="shared" si="592"/>
        <v>241599</v>
      </c>
      <c r="BO218" s="18">
        <f t="shared" si="592"/>
        <v>0</v>
      </c>
      <c r="BP218" s="18">
        <f t="shared" ref="BP218:CS218" si="593">SUM(BP219:BP231)</f>
        <v>0</v>
      </c>
      <c r="BQ218" s="18">
        <f t="shared" si="593"/>
        <v>0</v>
      </c>
      <c r="BR218" s="18">
        <f t="shared" si="593"/>
        <v>0</v>
      </c>
      <c r="BS218" s="18">
        <f t="shared" si="593"/>
        <v>0</v>
      </c>
      <c r="BT218" s="18">
        <f t="shared" si="593"/>
        <v>0</v>
      </c>
      <c r="BU218" s="18">
        <f t="shared" si="593"/>
        <v>0</v>
      </c>
      <c r="BV218" s="18">
        <f t="shared" si="593"/>
        <v>0</v>
      </c>
      <c r="BW218" s="18">
        <f t="shared" si="593"/>
        <v>0</v>
      </c>
      <c r="BX218" s="18">
        <f t="shared" si="593"/>
        <v>38855</v>
      </c>
      <c r="BY218" s="18">
        <f t="shared" si="593"/>
        <v>202744</v>
      </c>
      <c r="BZ218" s="18">
        <f t="shared" si="593"/>
        <v>12095023</v>
      </c>
      <c r="CA218" s="18">
        <f t="shared" si="593"/>
        <v>12095023</v>
      </c>
      <c r="CB218" s="18">
        <f t="shared" si="593"/>
        <v>10449975</v>
      </c>
      <c r="CC218" s="18">
        <f t="shared" si="593"/>
        <v>310560</v>
      </c>
      <c r="CD218" s="18">
        <f t="shared" si="593"/>
        <v>10139415</v>
      </c>
      <c r="CE218" s="18">
        <f t="shared" si="593"/>
        <v>352106</v>
      </c>
      <c r="CF218" s="18">
        <f t="shared" si="593"/>
        <v>0</v>
      </c>
      <c r="CG218" s="18">
        <f t="shared" si="593"/>
        <v>0</v>
      </c>
      <c r="CH218" s="18">
        <f t="shared" si="593"/>
        <v>0</v>
      </c>
      <c r="CI218" s="18">
        <f t="shared" si="593"/>
        <v>0</v>
      </c>
      <c r="CJ218" s="18">
        <f t="shared" si="593"/>
        <v>352106</v>
      </c>
      <c r="CK218" s="18">
        <f t="shared" si="593"/>
        <v>1292942</v>
      </c>
      <c r="CL218" s="18">
        <f t="shared" si="593"/>
        <v>300000</v>
      </c>
      <c r="CM218" s="18">
        <f t="shared" si="593"/>
        <v>992942</v>
      </c>
      <c r="CN218" s="18">
        <f t="shared" si="593"/>
        <v>0</v>
      </c>
      <c r="CO218" s="18">
        <f t="shared" si="593"/>
        <v>0</v>
      </c>
      <c r="CP218" s="74">
        <f t="shared" si="593"/>
        <v>67419385</v>
      </c>
      <c r="CQ218" s="74">
        <f t="shared" si="593"/>
        <v>67419385</v>
      </c>
      <c r="CR218" s="74">
        <f t="shared" si="593"/>
        <v>67419385</v>
      </c>
      <c r="CS218" s="18">
        <f t="shared" si="593"/>
        <v>0</v>
      </c>
      <c r="CT218" s="18">
        <f>SUM(CT219:CT231)</f>
        <v>0</v>
      </c>
      <c r="CU218" s="18">
        <f>SUM(CU219:CU231)</f>
        <v>0</v>
      </c>
      <c r="CV218" s="46">
        <f>SUM(CV219:CV231)</f>
        <v>0</v>
      </c>
      <c r="CW218" s="57"/>
    </row>
    <row r="219" spans="1:101" ht="15.6" x14ac:dyDescent="0.3">
      <c r="A219" s="105" t="s">
        <v>1</v>
      </c>
      <c r="B219" s="21" t="s">
        <v>45</v>
      </c>
      <c r="C219" s="22" t="s">
        <v>288</v>
      </c>
      <c r="D219" s="19">
        <f>SUM(E219+BZ219+CS219)</f>
        <v>7500000</v>
      </c>
      <c r="E219" s="19">
        <f t="shared" ref="E219:E230" si="594">SUM(F219+BA219)</f>
        <v>7500000</v>
      </c>
      <c r="F219" s="19">
        <f t="shared" ref="F219:F230" si="595">SUM(G219+H219+I219+P219+S219+T219+U219+AE219+AD219)</f>
        <v>7500000</v>
      </c>
      <c r="G219" s="19">
        <v>0</v>
      </c>
      <c r="H219" s="19">
        <v>0</v>
      </c>
      <c r="I219" s="19">
        <f t="shared" si="584"/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f t="shared" si="585"/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f t="shared" ref="U219:U230" si="596">SUM(V219:AC219)</f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f t="shared" ref="AE219:AE230" si="597">SUM(AF219:AZ219)</f>
        <v>7500000</v>
      </c>
      <c r="AF219" s="19">
        <v>0</v>
      </c>
      <c r="AG219" s="19">
        <v>0</v>
      </c>
      <c r="AH219" s="19">
        <v>0</v>
      </c>
      <c r="AI219" s="19">
        <v>0</v>
      </c>
      <c r="AJ219" s="23">
        <v>0</v>
      </c>
      <c r="AK219" s="23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23">
        <v>7500000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24">
        <v>0</v>
      </c>
      <c r="BA219" s="19">
        <f>SUM(BB219+BF219+BI219+BK219+BN219)</f>
        <v>0</v>
      </c>
      <c r="BB219" s="19">
        <f t="shared" ref="BB219:BB230" si="598">SUM(BC219:BE219)</f>
        <v>0</v>
      </c>
      <c r="BC219" s="19">
        <v>0</v>
      </c>
      <c r="BD219" s="19">
        <v>0</v>
      </c>
      <c r="BE219" s="19">
        <v>0</v>
      </c>
      <c r="BF219" s="19">
        <f t="shared" ref="BF219:BF230" si="599">SUM(BH219:BH219)</f>
        <v>0</v>
      </c>
      <c r="BG219" s="19">
        <v>0</v>
      </c>
      <c r="BH219" s="19">
        <v>0</v>
      </c>
      <c r="BI219" s="19">
        <v>0</v>
      </c>
      <c r="BJ219" s="19">
        <v>0</v>
      </c>
      <c r="BK219" s="19">
        <f t="shared" si="587"/>
        <v>0</v>
      </c>
      <c r="BL219" s="19">
        <v>0</v>
      </c>
      <c r="BM219" s="19">
        <v>0</v>
      </c>
      <c r="BN219" s="19">
        <f t="shared" ref="BN219:BN230" si="600">SUM(BO219:BY219)</f>
        <v>0</v>
      </c>
      <c r="BO219" s="19">
        <v>0</v>
      </c>
      <c r="BP219" s="19">
        <v>0</v>
      </c>
      <c r="BQ219" s="19">
        <v>0</v>
      </c>
      <c r="BR219" s="19">
        <v>0</v>
      </c>
      <c r="BS219" s="19">
        <v>0</v>
      </c>
      <c r="BT219" s="19">
        <v>0</v>
      </c>
      <c r="BU219" s="19">
        <v>0</v>
      </c>
      <c r="BV219" s="19">
        <v>0</v>
      </c>
      <c r="BW219" s="19">
        <v>0</v>
      </c>
      <c r="BX219" s="19">
        <v>0</v>
      </c>
      <c r="BY219" s="19">
        <v>0</v>
      </c>
      <c r="BZ219" s="19">
        <f t="shared" ref="BZ219:BZ230" si="601">SUM(CA219+CO219)</f>
        <v>0</v>
      </c>
      <c r="CA219" s="19">
        <f t="shared" ref="CA219:CA230" si="602">SUM(CB219+CE219+CK219)</f>
        <v>0</v>
      </c>
      <c r="CB219" s="19">
        <f t="shared" si="588"/>
        <v>0</v>
      </c>
      <c r="CC219" s="19">
        <v>0</v>
      </c>
      <c r="CD219" s="19">
        <v>0</v>
      </c>
      <c r="CE219" s="19">
        <f t="shared" ref="CE219:CE230" si="603">SUM(CF219:CJ219)</f>
        <v>0</v>
      </c>
      <c r="CF219" s="19">
        <v>0</v>
      </c>
      <c r="CG219" s="19">
        <v>0</v>
      </c>
      <c r="CH219" s="19">
        <v>0</v>
      </c>
      <c r="CI219" s="19">
        <v>0</v>
      </c>
      <c r="CJ219" s="19">
        <v>0</v>
      </c>
      <c r="CK219" s="19">
        <f t="shared" ref="CK219:CK230" si="604">SUM(CL219:CN219)</f>
        <v>0</v>
      </c>
      <c r="CL219" s="19">
        <v>0</v>
      </c>
      <c r="CM219" s="19">
        <v>0</v>
      </c>
      <c r="CN219" s="19"/>
      <c r="CO219" s="19">
        <v>0</v>
      </c>
      <c r="CP219" s="75"/>
      <c r="CQ219" s="75"/>
      <c r="CR219" s="75"/>
      <c r="CS219" s="19">
        <f t="shared" si="589"/>
        <v>0</v>
      </c>
      <c r="CT219" s="19">
        <f t="shared" si="590"/>
        <v>0</v>
      </c>
      <c r="CU219" s="19">
        <v>0</v>
      </c>
      <c r="CV219" s="20">
        <v>0</v>
      </c>
      <c r="CW219" s="52"/>
    </row>
    <row r="220" spans="1:101" s="79" customFormat="1" ht="31.2" x14ac:dyDescent="0.3">
      <c r="A220" s="105" t="s">
        <v>1</v>
      </c>
      <c r="B220" s="36" t="s">
        <v>54</v>
      </c>
      <c r="C220" s="37" t="s">
        <v>462</v>
      </c>
      <c r="D220" s="19">
        <f>SUM(E220+BZ220+CS220)</f>
        <v>1084210</v>
      </c>
      <c r="E220" s="19">
        <f t="shared" si="594"/>
        <v>1084210</v>
      </c>
      <c r="F220" s="19">
        <f>SUM(G220+H220+I220+P220+S220+T220+U220+AE220+AD220)</f>
        <v>1084210</v>
      </c>
      <c r="G220" s="19">
        <v>0</v>
      </c>
      <c r="H220" s="19">
        <v>0</v>
      </c>
      <c r="I220" s="19">
        <f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f>32507-32507</f>
        <v>0</v>
      </c>
      <c r="P220" s="19">
        <f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f t="shared" si="597"/>
        <v>1084210</v>
      </c>
      <c r="AF220" s="19">
        <v>0</v>
      </c>
      <c r="AG220" s="19">
        <v>0</v>
      </c>
      <c r="AH220" s="19">
        <v>0</v>
      </c>
      <c r="AI220" s="19">
        <v>0</v>
      </c>
      <c r="AJ220" s="24"/>
      <c r="AK220" s="24"/>
      <c r="AL220" s="19"/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0</v>
      </c>
      <c r="AZ220" s="24">
        <v>1084210</v>
      </c>
      <c r="BA220" s="19"/>
      <c r="BB220" s="19">
        <f>SUM(BC220:BE220)</f>
        <v>0</v>
      </c>
      <c r="BC220" s="19">
        <v>0</v>
      </c>
      <c r="BD220" s="19">
        <v>0</v>
      </c>
      <c r="BE220" s="19">
        <v>0</v>
      </c>
      <c r="BF220" s="19">
        <f>SUM(BH220:BH220)</f>
        <v>0</v>
      </c>
      <c r="BG220" s="19">
        <v>0</v>
      </c>
      <c r="BH220" s="19">
        <v>0</v>
      </c>
      <c r="BI220" s="19"/>
      <c r="BJ220" s="19">
        <v>0</v>
      </c>
      <c r="BK220" s="19">
        <f>SUM(BL220)</f>
        <v>0</v>
      </c>
      <c r="BL220" s="19">
        <v>0</v>
      </c>
      <c r="BM220" s="19">
        <v>0</v>
      </c>
      <c r="BN220" s="19">
        <f t="shared" si="600"/>
        <v>0</v>
      </c>
      <c r="BO220" s="19"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f t="shared" si="601"/>
        <v>0</v>
      </c>
      <c r="CA220" s="19">
        <f t="shared" si="602"/>
        <v>0</v>
      </c>
      <c r="CB220" s="19">
        <f>SUM(CC220:CD220)</f>
        <v>0</v>
      </c>
      <c r="CC220" s="19">
        <v>0</v>
      </c>
      <c r="CD220" s="19">
        <v>0</v>
      </c>
      <c r="CE220" s="19">
        <f t="shared" si="603"/>
        <v>0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f t="shared" si="604"/>
        <v>0</v>
      </c>
      <c r="CL220" s="19">
        <v>0</v>
      </c>
      <c r="CM220" s="19">
        <v>0</v>
      </c>
      <c r="CN220" s="19"/>
      <c r="CO220" s="19">
        <v>0</v>
      </c>
      <c r="CP220" s="75"/>
      <c r="CQ220" s="75"/>
      <c r="CR220" s="75"/>
      <c r="CS220" s="19">
        <f>SUM(CT220)</f>
        <v>0</v>
      </c>
      <c r="CT220" s="19">
        <f>SUM(CU220:CV220)</f>
        <v>0</v>
      </c>
      <c r="CU220" s="19">
        <v>0</v>
      </c>
      <c r="CV220" s="20">
        <v>0</v>
      </c>
      <c r="CW220" s="52"/>
    </row>
    <row r="221" spans="1:101" ht="15.6" x14ac:dyDescent="0.3">
      <c r="A221" s="107" t="s">
        <v>1</v>
      </c>
      <c r="B221" s="72" t="s">
        <v>54</v>
      </c>
      <c r="C221" s="73" t="s">
        <v>601</v>
      </c>
      <c r="D221" s="75">
        <f>SUM(E221+BZ221+CS221+CP221)</f>
        <v>67419385</v>
      </c>
      <c r="E221" s="75">
        <f t="shared" ref="E221" si="605">SUM(F221+BA221)</f>
        <v>0</v>
      </c>
      <c r="F221" s="75">
        <f>SUM(G221+H221+I221+P221+S221+T221+U221+AE221+AD221)</f>
        <v>0</v>
      </c>
      <c r="G221" s="75">
        <v>0</v>
      </c>
      <c r="H221" s="75">
        <v>0</v>
      </c>
      <c r="I221" s="75">
        <f>SUM(J221:O221)</f>
        <v>0</v>
      </c>
      <c r="J221" s="75">
        <v>0</v>
      </c>
      <c r="K221" s="75">
        <v>0</v>
      </c>
      <c r="L221" s="75">
        <v>0</v>
      </c>
      <c r="M221" s="75">
        <v>0</v>
      </c>
      <c r="N221" s="75">
        <v>0</v>
      </c>
      <c r="O221" s="75">
        <v>0</v>
      </c>
      <c r="P221" s="75">
        <f>SUM(Q221:R221)</f>
        <v>0</v>
      </c>
      <c r="Q221" s="75">
        <v>0</v>
      </c>
      <c r="R221" s="75">
        <v>0</v>
      </c>
      <c r="S221" s="75">
        <v>0</v>
      </c>
      <c r="T221" s="75">
        <v>0</v>
      </c>
      <c r="U221" s="75">
        <f>SUM(V221:AC221)</f>
        <v>0</v>
      </c>
      <c r="V221" s="75">
        <v>0</v>
      </c>
      <c r="W221" s="75">
        <v>0</v>
      </c>
      <c r="X221" s="75">
        <v>0</v>
      </c>
      <c r="Y221" s="75">
        <v>0</v>
      </c>
      <c r="Z221" s="75">
        <v>0</v>
      </c>
      <c r="AA221" s="75">
        <v>0</v>
      </c>
      <c r="AB221" s="75">
        <v>0</v>
      </c>
      <c r="AC221" s="75">
        <v>0</v>
      </c>
      <c r="AD221" s="75">
        <v>0</v>
      </c>
      <c r="AE221" s="75">
        <f t="shared" si="597"/>
        <v>0</v>
      </c>
      <c r="AF221" s="75">
        <v>0</v>
      </c>
      <c r="AG221" s="75">
        <v>0</v>
      </c>
      <c r="AH221" s="75">
        <v>0</v>
      </c>
      <c r="AI221" s="75">
        <v>0</v>
      </c>
      <c r="AJ221" s="76">
        <v>0</v>
      </c>
      <c r="AK221" s="76">
        <v>0</v>
      </c>
      <c r="AL221" s="75">
        <v>0</v>
      </c>
      <c r="AM221" s="75">
        <v>0</v>
      </c>
      <c r="AN221" s="75">
        <v>0</v>
      </c>
      <c r="AO221" s="75">
        <v>0</v>
      </c>
      <c r="AP221" s="75">
        <v>0</v>
      </c>
      <c r="AQ221" s="75">
        <v>0</v>
      </c>
      <c r="AR221" s="75">
        <v>0</v>
      </c>
      <c r="AS221" s="75">
        <v>0</v>
      </c>
      <c r="AT221" s="75">
        <v>0</v>
      </c>
      <c r="AU221" s="75">
        <v>0</v>
      </c>
      <c r="AV221" s="75">
        <v>0</v>
      </c>
      <c r="AW221" s="75">
        <v>0</v>
      </c>
      <c r="AX221" s="75">
        <v>0</v>
      </c>
      <c r="AY221" s="75">
        <v>0</v>
      </c>
      <c r="AZ221" s="77"/>
      <c r="BA221" s="75">
        <f t="shared" ref="BA221:BA226" si="606">SUM(BB221+BF221+BI221+BK221+BN221)</f>
        <v>0</v>
      </c>
      <c r="BB221" s="75">
        <f>SUM(BC221:BE221)</f>
        <v>0</v>
      </c>
      <c r="BC221" s="75">
        <v>0</v>
      </c>
      <c r="BD221" s="75">
        <v>0</v>
      </c>
      <c r="BE221" s="75">
        <v>0</v>
      </c>
      <c r="BF221" s="75">
        <f>SUM(BH221:BH221)</f>
        <v>0</v>
      </c>
      <c r="BG221" s="75">
        <v>0</v>
      </c>
      <c r="BH221" s="75">
        <v>0</v>
      </c>
      <c r="BI221" s="75">
        <v>0</v>
      </c>
      <c r="BJ221" s="75">
        <v>0</v>
      </c>
      <c r="BK221" s="75">
        <f>SUM(BL221)</f>
        <v>0</v>
      </c>
      <c r="BL221" s="75">
        <v>0</v>
      </c>
      <c r="BM221" s="75">
        <v>0</v>
      </c>
      <c r="BN221" s="75">
        <f>SUM(BO221:BY221)</f>
        <v>0</v>
      </c>
      <c r="BO221" s="75">
        <v>0</v>
      </c>
      <c r="BP221" s="75">
        <v>0</v>
      </c>
      <c r="BQ221" s="75">
        <v>0</v>
      </c>
      <c r="BR221" s="75">
        <v>0</v>
      </c>
      <c r="BS221" s="75">
        <v>0</v>
      </c>
      <c r="BT221" s="75">
        <v>0</v>
      </c>
      <c r="BU221" s="75">
        <v>0</v>
      </c>
      <c r="BV221" s="75">
        <v>0</v>
      </c>
      <c r="BW221" s="75">
        <v>0</v>
      </c>
      <c r="BX221" s="75">
        <v>0</v>
      </c>
      <c r="BY221" s="75">
        <v>0</v>
      </c>
      <c r="BZ221" s="75">
        <f t="shared" si="601"/>
        <v>0</v>
      </c>
      <c r="CA221" s="75">
        <f t="shared" si="602"/>
        <v>0</v>
      </c>
      <c r="CB221" s="75">
        <f>SUM(CC221:CD221)</f>
        <v>0</v>
      </c>
      <c r="CC221" s="75">
        <v>0</v>
      </c>
      <c r="CD221" s="75"/>
      <c r="CE221" s="75">
        <f t="shared" si="603"/>
        <v>0</v>
      </c>
      <c r="CF221" s="75">
        <v>0</v>
      </c>
      <c r="CG221" s="75">
        <v>0</v>
      </c>
      <c r="CH221" s="75">
        <v>0</v>
      </c>
      <c r="CI221" s="75">
        <v>0</v>
      </c>
      <c r="CJ221" s="75">
        <v>0</v>
      </c>
      <c r="CK221" s="75">
        <f t="shared" si="604"/>
        <v>0</v>
      </c>
      <c r="CL221" s="75">
        <v>0</v>
      </c>
      <c r="CM221" s="75">
        <v>0</v>
      </c>
      <c r="CN221" s="75"/>
      <c r="CO221" s="75">
        <v>0</v>
      </c>
      <c r="CP221" s="75">
        <f>CQ221</f>
        <v>67419385</v>
      </c>
      <c r="CQ221" s="75">
        <f>CR221</f>
        <v>67419385</v>
      </c>
      <c r="CR221" s="75">
        <f>89420122+7805971-29806708</f>
        <v>67419385</v>
      </c>
      <c r="CS221" s="75">
        <f>SUM(CT221)</f>
        <v>0</v>
      </c>
      <c r="CT221" s="75">
        <f>SUM(CU221:CV221)</f>
        <v>0</v>
      </c>
      <c r="CU221" s="75">
        <v>0</v>
      </c>
      <c r="CV221" s="78">
        <v>0</v>
      </c>
      <c r="CW221" s="79"/>
    </row>
    <row r="222" spans="1:101" s="79" customFormat="1" ht="31.2" x14ac:dyDescent="0.3">
      <c r="A222" s="108"/>
      <c r="B222" s="42" t="s">
        <v>56</v>
      </c>
      <c r="C222" s="43" t="s">
        <v>450</v>
      </c>
      <c r="D222" s="39">
        <f t="shared" ref="D222:D230" si="607">SUM(E222+BZ222+CS222)</f>
        <v>71412</v>
      </c>
      <c r="E222" s="39">
        <f t="shared" si="594"/>
        <v>71412</v>
      </c>
      <c r="F222" s="39">
        <f t="shared" si="595"/>
        <v>71412</v>
      </c>
      <c r="G222" s="39">
        <v>0</v>
      </c>
      <c r="H222" s="39">
        <v>0</v>
      </c>
      <c r="I222" s="39">
        <f t="shared" ref="I222" si="608">SUM(J222:O222)</f>
        <v>0</v>
      </c>
      <c r="J222" s="39">
        <v>0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f t="shared" ref="P222" si="609">SUM(Q222:R222)</f>
        <v>0</v>
      </c>
      <c r="Q222" s="39">
        <v>0</v>
      </c>
      <c r="R222" s="39">
        <v>0</v>
      </c>
      <c r="S222" s="39">
        <v>0</v>
      </c>
      <c r="T222" s="39">
        <v>0</v>
      </c>
      <c r="U222" s="39">
        <f t="shared" si="596"/>
        <v>0</v>
      </c>
      <c r="V222" s="39">
        <v>0</v>
      </c>
      <c r="W222" s="39">
        <v>0</v>
      </c>
      <c r="X222" s="39">
        <v>0</v>
      </c>
      <c r="Y222" s="39">
        <v>0</v>
      </c>
      <c r="Z222" s="39">
        <v>0</v>
      </c>
      <c r="AA222" s="39">
        <v>0</v>
      </c>
      <c r="AB222" s="39">
        <v>0</v>
      </c>
      <c r="AC222" s="39">
        <v>0</v>
      </c>
      <c r="AD222" s="39">
        <v>0</v>
      </c>
      <c r="AE222" s="39">
        <f t="shared" si="597"/>
        <v>71412</v>
      </c>
      <c r="AF222" s="40"/>
      <c r="AG222" s="40"/>
      <c r="AH222" s="39">
        <v>0</v>
      </c>
      <c r="AI222" s="39">
        <v>0</v>
      </c>
      <c r="AJ222" s="35">
        <v>71412</v>
      </c>
      <c r="AK222" s="35">
        <v>0</v>
      </c>
      <c r="AL222" s="39">
        <v>0</v>
      </c>
      <c r="AM222" s="39">
        <v>0</v>
      </c>
      <c r="AN222" s="39">
        <v>0</v>
      </c>
      <c r="AO222" s="39">
        <v>0</v>
      </c>
      <c r="AP222" s="39">
        <v>0</v>
      </c>
      <c r="AQ222" s="39">
        <v>0</v>
      </c>
      <c r="AR222" s="39">
        <v>0</v>
      </c>
      <c r="AS222" s="39">
        <v>0</v>
      </c>
      <c r="AT222" s="39">
        <v>0</v>
      </c>
      <c r="AU222" s="39">
        <v>0</v>
      </c>
      <c r="AV222" s="39">
        <v>0</v>
      </c>
      <c r="AW222" s="39">
        <v>0</v>
      </c>
      <c r="AX222" s="39">
        <v>0</v>
      </c>
      <c r="AY222" s="39">
        <v>0</v>
      </c>
      <c r="AZ222" s="39"/>
      <c r="BA222" s="39">
        <f t="shared" si="606"/>
        <v>0</v>
      </c>
      <c r="BB222" s="39">
        <f t="shared" si="598"/>
        <v>0</v>
      </c>
      <c r="BC222" s="39">
        <v>0</v>
      </c>
      <c r="BD222" s="39">
        <v>0</v>
      </c>
      <c r="BE222" s="39">
        <v>0</v>
      </c>
      <c r="BF222" s="39">
        <f t="shared" si="599"/>
        <v>0</v>
      </c>
      <c r="BG222" s="39">
        <v>0</v>
      </c>
      <c r="BH222" s="39">
        <v>0</v>
      </c>
      <c r="BI222" s="39">
        <v>0</v>
      </c>
      <c r="BJ222" s="39">
        <v>0</v>
      </c>
      <c r="BK222" s="39">
        <f t="shared" si="587"/>
        <v>0</v>
      </c>
      <c r="BL222" s="39">
        <v>0</v>
      </c>
      <c r="BM222" s="39">
        <v>0</v>
      </c>
      <c r="BN222" s="39">
        <f t="shared" si="600"/>
        <v>0</v>
      </c>
      <c r="BO222" s="39">
        <v>0</v>
      </c>
      <c r="BP222" s="39">
        <v>0</v>
      </c>
      <c r="BQ222" s="39">
        <v>0</v>
      </c>
      <c r="BR222" s="39">
        <v>0</v>
      </c>
      <c r="BS222" s="39">
        <v>0</v>
      </c>
      <c r="BT222" s="39">
        <v>0</v>
      </c>
      <c r="BU222" s="39">
        <v>0</v>
      </c>
      <c r="BV222" s="39">
        <v>0</v>
      </c>
      <c r="BW222" s="39">
        <v>0</v>
      </c>
      <c r="BX222" s="39">
        <v>0</v>
      </c>
      <c r="BY222" s="39">
        <v>0</v>
      </c>
      <c r="BZ222" s="39">
        <f t="shared" si="601"/>
        <v>0</v>
      </c>
      <c r="CA222" s="39">
        <f t="shared" si="602"/>
        <v>0</v>
      </c>
      <c r="CB222" s="39">
        <f t="shared" ref="CB222" si="610">SUM(CC222:CD222)</f>
        <v>0</v>
      </c>
      <c r="CC222" s="39">
        <v>0</v>
      </c>
      <c r="CD222" s="39">
        <v>0</v>
      </c>
      <c r="CE222" s="19">
        <f t="shared" si="603"/>
        <v>0</v>
      </c>
      <c r="CF222" s="39">
        <v>0</v>
      </c>
      <c r="CG222" s="39">
        <v>0</v>
      </c>
      <c r="CH222" s="39">
        <v>0</v>
      </c>
      <c r="CI222" s="39">
        <v>0</v>
      </c>
      <c r="CJ222" s="39">
        <v>0</v>
      </c>
      <c r="CK222" s="39">
        <f t="shared" si="604"/>
        <v>0</v>
      </c>
      <c r="CL222" s="39">
        <v>0</v>
      </c>
      <c r="CM222" s="39">
        <v>0</v>
      </c>
      <c r="CN222" s="39"/>
      <c r="CO222" s="39">
        <v>0</v>
      </c>
      <c r="CP222" s="75"/>
      <c r="CQ222" s="75"/>
      <c r="CR222" s="75"/>
      <c r="CS222" s="39">
        <f t="shared" si="589"/>
        <v>0</v>
      </c>
      <c r="CT222" s="39">
        <f t="shared" si="590"/>
        <v>0</v>
      </c>
      <c r="CU222" s="39">
        <v>0</v>
      </c>
      <c r="CV222" s="41">
        <v>0</v>
      </c>
      <c r="CW222" s="52"/>
    </row>
    <row r="223" spans="1:101" ht="46.8" x14ac:dyDescent="0.3">
      <c r="A223" s="107"/>
      <c r="B223" s="98">
        <v>113</v>
      </c>
      <c r="C223" s="99" t="s">
        <v>502</v>
      </c>
      <c r="D223" s="75">
        <f t="shared" si="607"/>
        <v>4684345</v>
      </c>
      <c r="E223" s="75">
        <f t="shared" si="594"/>
        <v>3038395</v>
      </c>
      <c r="F223" s="75">
        <f t="shared" ref="F223" si="611">SUM(G223+H223+I223+P223+S223+T223+U223+AE223+AD223)</f>
        <v>3038395</v>
      </c>
      <c r="G223" s="75">
        <v>0</v>
      </c>
      <c r="H223" s="75">
        <v>0</v>
      </c>
      <c r="I223" s="75">
        <f t="shared" ref="I223" si="612">SUM(J223:O223)</f>
        <v>0</v>
      </c>
      <c r="J223" s="76">
        <v>0</v>
      </c>
      <c r="K223" s="76">
        <v>0</v>
      </c>
      <c r="L223" s="76">
        <v>0</v>
      </c>
      <c r="M223" s="76">
        <v>0</v>
      </c>
      <c r="N223" s="76">
        <v>0</v>
      </c>
      <c r="O223" s="76"/>
      <c r="P223" s="75">
        <f t="shared" ref="P223" si="613">SUM(Q223:R223)</f>
        <v>0</v>
      </c>
      <c r="Q223" s="75">
        <v>0</v>
      </c>
      <c r="R223" s="75">
        <v>0</v>
      </c>
      <c r="S223" s="75">
        <v>0</v>
      </c>
      <c r="T223" s="75">
        <v>0</v>
      </c>
      <c r="U223" s="75">
        <f>SUM(V223:AC223)</f>
        <v>0</v>
      </c>
      <c r="V223" s="75">
        <v>0</v>
      </c>
      <c r="W223" s="75">
        <v>0</v>
      </c>
      <c r="X223" s="75">
        <v>0</v>
      </c>
      <c r="Y223" s="75">
        <v>0</v>
      </c>
      <c r="Z223" s="75">
        <v>0</v>
      </c>
      <c r="AA223" s="75">
        <v>0</v>
      </c>
      <c r="AB223" s="75">
        <v>0</v>
      </c>
      <c r="AC223" s="75">
        <v>0</v>
      </c>
      <c r="AD223" s="75">
        <v>0</v>
      </c>
      <c r="AE223" s="75">
        <f t="shared" si="597"/>
        <v>3038395</v>
      </c>
      <c r="AF223" s="75">
        <v>0</v>
      </c>
      <c r="AG223" s="75">
        <v>0</v>
      </c>
      <c r="AH223" s="76">
        <f>3000000+38395</f>
        <v>3038395</v>
      </c>
      <c r="AI223" s="76">
        <v>0</v>
      </c>
      <c r="AJ223" s="76"/>
      <c r="AK223" s="76">
        <v>0</v>
      </c>
      <c r="AL223" s="76">
        <v>0</v>
      </c>
      <c r="AM223" s="76">
        <v>0</v>
      </c>
      <c r="AN223" s="76">
        <v>0</v>
      </c>
      <c r="AO223" s="76">
        <v>0</v>
      </c>
      <c r="AP223" s="76">
        <v>0</v>
      </c>
      <c r="AQ223" s="76">
        <v>0</v>
      </c>
      <c r="AR223" s="76">
        <v>0</v>
      </c>
      <c r="AS223" s="76">
        <v>0</v>
      </c>
      <c r="AT223" s="76">
        <v>0</v>
      </c>
      <c r="AU223" s="76">
        <v>0</v>
      </c>
      <c r="AV223" s="76">
        <v>0</v>
      </c>
      <c r="AW223" s="76">
        <v>0</v>
      </c>
      <c r="AX223" s="76">
        <v>0</v>
      </c>
      <c r="AY223" s="76">
        <v>0</v>
      </c>
      <c r="AZ223" s="76">
        <f>16784956-16784956</f>
        <v>0</v>
      </c>
      <c r="BA223" s="75">
        <f t="shared" si="606"/>
        <v>0</v>
      </c>
      <c r="BB223" s="75">
        <f t="shared" ref="BB223" si="614">SUM(BC223:BE223)</f>
        <v>0</v>
      </c>
      <c r="BC223" s="75">
        <v>0</v>
      </c>
      <c r="BD223" s="75">
        <v>0</v>
      </c>
      <c r="BE223" s="75">
        <v>0</v>
      </c>
      <c r="BF223" s="75">
        <f t="shared" ref="BF223" si="615">SUM(BH223:BH223)</f>
        <v>0</v>
      </c>
      <c r="BG223" s="75">
        <v>0</v>
      </c>
      <c r="BH223" s="75">
        <v>0</v>
      </c>
      <c r="BI223" s="75">
        <v>0</v>
      </c>
      <c r="BJ223" s="75">
        <v>0</v>
      </c>
      <c r="BK223" s="75">
        <f t="shared" ref="BK223" si="616">SUM(BL223)</f>
        <v>0</v>
      </c>
      <c r="BL223" s="75">
        <v>0</v>
      </c>
      <c r="BM223" s="75">
        <v>0</v>
      </c>
      <c r="BN223" s="75">
        <f t="shared" si="600"/>
        <v>0</v>
      </c>
      <c r="BO223" s="75">
        <v>0</v>
      </c>
      <c r="BP223" s="75">
        <v>0</v>
      </c>
      <c r="BQ223" s="75">
        <v>0</v>
      </c>
      <c r="BR223" s="75">
        <v>0</v>
      </c>
      <c r="BS223" s="75">
        <v>0</v>
      </c>
      <c r="BT223" s="75">
        <v>0</v>
      </c>
      <c r="BU223" s="75">
        <v>0</v>
      </c>
      <c r="BV223" s="75">
        <v>0</v>
      </c>
      <c r="BW223" s="75">
        <v>0</v>
      </c>
      <c r="BX223" s="75">
        <v>0</v>
      </c>
      <c r="BY223" s="75">
        <v>0</v>
      </c>
      <c r="BZ223" s="75">
        <f t="shared" si="601"/>
        <v>1645950</v>
      </c>
      <c r="CA223" s="75">
        <f t="shared" si="602"/>
        <v>1645950</v>
      </c>
      <c r="CB223" s="75">
        <f t="shared" ref="CB223" si="617">SUM(CC223:CD223)</f>
        <v>1645950</v>
      </c>
      <c r="CC223" s="75">
        <v>0</v>
      </c>
      <c r="CD223" s="75">
        <f>15862382-14216432</f>
        <v>1645950</v>
      </c>
      <c r="CE223" s="75">
        <f t="shared" si="603"/>
        <v>0</v>
      </c>
      <c r="CF223" s="75">
        <v>0</v>
      </c>
      <c r="CG223" s="75">
        <v>0</v>
      </c>
      <c r="CH223" s="75">
        <v>0</v>
      </c>
      <c r="CI223" s="75">
        <v>0</v>
      </c>
      <c r="CJ223" s="75">
        <v>0</v>
      </c>
      <c r="CK223" s="75">
        <f t="shared" si="604"/>
        <v>0</v>
      </c>
      <c r="CL223" s="75">
        <v>0</v>
      </c>
      <c r="CM223" s="75">
        <v>0</v>
      </c>
      <c r="CN223" s="75"/>
      <c r="CO223" s="75">
        <v>0</v>
      </c>
      <c r="CP223" s="75"/>
      <c r="CQ223" s="75"/>
      <c r="CR223" s="75"/>
      <c r="CS223" s="75">
        <f t="shared" ref="CS223" si="618">SUM(CT223)</f>
        <v>0</v>
      </c>
      <c r="CT223" s="75">
        <f t="shared" ref="CT223" si="619">SUM(CU223:CV223)</f>
        <v>0</v>
      </c>
      <c r="CU223" s="75">
        <v>0</v>
      </c>
      <c r="CV223" s="78">
        <v>0</v>
      </c>
      <c r="CW223" s="79"/>
    </row>
    <row r="224" spans="1:101" ht="31.2" x14ac:dyDescent="0.3">
      <c r="A224" s="108"/>
      <c r="B224" s="42" t="s">
        <v>60</v>
      </c>
      <c r="C224" s="43" t="s">
        <v>450</v>
      </c>
      <c r="D224" s="39">
        <f t="shared" si="607"/>
        <v>5469</v>
      </c>
      <c r="E224" s="39">
        <f t="shared" si="594"/>
        <v>5469</v>
      </c>
      <c r="F224" s="39">
        <f t="shared" si="595"/>
        <v>5469</v>
      </c>
      <c r="G224" s="39">
        <v>0</v>
      </c>
      <c r="H224" s="39">
        <v>0</v>
      </c>
      <c r="I224" s="39">
        <f t="shared" ref="I224" si="620">SUM(J224:O224)</f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9">
        <f t="shared" ref="P224" si="621">SUM(Q224:R224)</f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f t="shared" si="596"/>
        <v>0</v>
      </c>
      <c r="V224" s="39">
        <v>0</v>
      </c>
      <c r="W224" s="39">
        <v>0</v>
      </c>
      <c r="X224" s="39">
        <v>0</v>
      </c>
      <c r="Y224" s="39">
        <v>0</v>
      </c>
      <c r="Z224" s="39">
        <v>0</v>
      </c>
      <c r="AA224" s="39">
        <v>0</v>
      </c>
      <c r="AB224" s="39">
        <v>0</v>
      </c>
      <c r="AC224" s="39">
        <v>0</v>
      </c>
      <c r="AD224" s="39">
        <v>0</v>
      </c>
      <c r="AE224" s="39">
        <f t="shared" si="597"/>
        <v>5469</v>
      </c>
      <c r="AF224" s="40"/>
      <c r="AG224" s="40"/>
      <c r="AH224" s="35">
        <v>0</v>
      </c>
      <c r="AI224" s="35">
        <v>0</v>
      </c>
      <c r="AJ224" s="35">
        <v>5469</v>
      </c>
      <c r="AK224" s="35"/>
      <c r="AL224" s="35">
        <v>0</v>
      </c>
      <c r="AM224" s="35">
        <v>0</v>
      </c>
      <c r="AN224" s="35">
        <v>0</v>
      </c>
      <c r="AO224" s="35">
        <v>0</v>
      </c>
      <c r="AP224" s="35">
        <v>0</v>
      </c>
      <c r="AQ224" s="35">
        <v>0</v>
      </c>
      <c r="AR224" s="35">
        <v>0</v>
      </c>
      <c r="AS224" s="35">
        <v>0</v>
      </c>
      <c r="AT224" s="35">
        <v>0</v>
      </c>
      <c r="AU224" s="35">
        <v>0</v>
      </c>
      <c r="AV224" s="35">
        <v>0</v>
      </c>
      <c r="AW224" s="35">
        <v>0</v>
      </c>
      <c r="AX224" s="35">
        <v>0</v>
      </c>
      <c r="AY224" s="35">
        <v>0</v>
      </c>
      <c r="AZ224" s="35">
        <v>0</v>
      </c>
      <c r="BA224" s="39">
        <f t="shared" si="606"/>
        <v>0</v>
      </c>
      <c r="BB224" s="39">
        <f t="shared" si="598"/>
        <v>0</v>
      </c>
      <c r="BC224" s="39">
        <v>0</v>
      </c>
      <c r="BD224" s="39">
        <v>0</v>
      </c>
      <c r="BE224" s="39">
        <v>0</v>
      </c>
      <c r="BF224" s="39">
        <f t="shared" si="599"/>
        <v>0</v>
      </c>
      <c r="BG224" s="39">
        <v>0</v>
      </c>
      <c r="BH224" s="39">
        <v>0</v>
      </c>
      <c r="BI224" s="39">
        <v>0</v>
      </c>
      <c r="BJ224" s="39">
        <v>0</v>
      </c>
      <c r="BK224" s="39">
        <f t="shared" si="587"/>
        <v>0</v>
      </c>
      <c r="BL224" s="39">
        <v>0</v>
      </c>
      <c r="BM224" s="39">
        <v>0</v>
      </c>
      <c r="BN224" s="39">
        <f t="shared" si="600"/>
        <v>0</v>
      </c>
      <c r="BO224" s="39">
        <v>0</v>
      </c>
      <c r="BP224" s="39">
        <v>0</v>
      </c>
      <c r="BQ224" s="39">
        <v>0</v>
      </c>
      <c r="BR224" s="39">
        <v>0</v>
      </c>
      <c r="BS224" s="39">
        <v>0</v>
      </c>
      <c r="BT224" s="39">
        <v>0</v>
      </c>
      <c r="BU224" s="39">
        <v>0</v>
      </c>
      <c r="BV224" s="39">
        <v>0</v>
      </c>
      <c r="BW224" s="39">
        <v>0</v>
      </c>
      <c r="BX224" s="39">
        <v>0</v>
      </c>
      <c r="BY224" s="39">
        <v>0</v>
      </c>
      <c r="BZ224" s="39">
        <f t="shared" si="601"/>
        <v>0</v>
      </c>
      <c r="CA224" s="39">
        <f t="shared" si="602"/>
        <v>0</v>
      </c>
      <c r="CB224" s="39">
        <f t="shared" ref="CB224" si="622">SUM(CC224:CD224)</f>
        <v>0</v>
      </c>
      <c r="CC224" s="39">
        <v>0</v>
      </c>
      <c r="CD224" s="39">
        <v>0</v>
      </c>
      <c r="CE224" s="19">
        <f t="shared" si="603"/>
        <v>0</v>
      </c>
      <c r="CF224" s="39">
        <v>0</v>
      </c>
      <c r="CG224" s="39">
        <v>0</v>
      </c>
      <c r="CH224" s="39">
        <v>0</v>
      </c>
      <c r="CI224" s="39">
        <v>0</v>
      </c>
      <c r="CJ224" s="39">
        <v>0</v>
      </c>
      <c r="CK224" s="39">
        <f t="shared" si="604"/>
        <v>0</v>
      </c>
      <c r="CL224" s="39">
        <v>0</v>
      </c>
      <c r="CM224" s="39">
        <v>0</v>
      </c>
      <c r="CN224" s="39"/>
      <c r="CO224" s="39">
        <v>0</v>
      </c>
      <c r="CP224" s="75"/>
      <c r="CQ224" s="75"/>
      <c r="CR224" s="75"/>
      <c r="CS224" s="39">
        <f t="shared" ref="CS224" si="623">SUM(CT224)</f>
        <v>0</v>
      </c>
      <c r="CT224" s="39">
        <f t="shared" si="590"/>
        <v>0</v>
      </c>
      <c r="CU224" s="39">
        <v>0</v>
      </c>
      <c r="CV224" s="41">
        <v>0</v>
      </c>
      <c r="CW224" s="52"/>
    </row>
    <row r="225" spans="1:101" ht="31.2" x14ac:dyDescent="0.3">
      <c r="A225" s="108"/>
      <c r="B225" s="36" t="s">
        <v>60</v>
      </c>
      <c r="C225" s="37" t="s">
        <v>451</v>
      </c>
      <c r="D225" s="39">
        <f t="shared" si="607"/>
        <v>750000</v>
      </c>
      <c r="E225" s="39">
        <f t="shared" si="594"/>
        <v>750000</v>
      </c>
      <c r="F225" s="39">
        <f t="shared" si="595"/>
        <v>750000</v>
      </c>
      <c r="G225" s="39"/>
      <c r="H225" s="39"/>
      <c r="I225" s="39">
        <f t="shared" si="584"/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9">
        <f t="shared" si="585"/>
        <v>0</v>
      </c>
      <c r="Q225" s="39"/>
      <c r="R225" s="39"/>
      <c r="S225" s="39">
        <v>0</v>
      </c>
      <c r="T225" s="39"/>
      <c r="U225" s="39">
        <f t="shared" si="596"/>
        <v>0</v>
      </c>
      <c r="V225" s="39"/>
      <c r="W225" s="39"/>
      <c r="X225" s="39"/>
      <c r="Y225" s="39"/>
      <c r="Z225" s="39"/>
      <c r="AA225" s="39">
        <v>0</v>
      </c>
      <c r="AB225" s="39">
        <v>0</v>
      </c>
      <c r="AC225" s="39"/>
      <c r="AD225" s="39"/>
      <c r="AE225" s="39">
        <f t="shared" si="597"/>
        <v>750000</v>
      </c>
      <c r="AF225" s="39"/>
      <c r="AG225" s="39"/>
      <c r="AH225" s="35"/>
      <c r="AI225" s="35"/>
      <c r="AJ225" s="35"/>
      <c r="AK225" s="35">
        <v>750000</v>
      </c>
      <c r="AL225" s="35">
        <v>0</v>
      </c>
      <c r="AM225" s="35">
        <v>0</v>
      </c>
      <c r="AN225" s="35">
        <v>0</v>
      </c>
      <c r="AO225" s="35">
        <v>0</v>
      </c>
      <c r="AP225" s="35">
        <v>0</v>
      </c>
      <c r="AQ225" s="35">
        <v>0</v>
      </c>
      <c r="AR225" s="35">
        <v>0</v>
      </c>
      <c r="AS225" s="35">
        <v>0</v>
      </c>
      <c r="AT225" s="35">
        <v>0</v>
      </c>
      <c r="AU225" s="35">
        <v>0</v>
      </c>
      <c r="AV225" s="35">
        <v>0</v>
      </c>
      <c r="AW225" s="35">
        <v>0</v>
      </c>
      <c r="AX225" s="35">
        <v>0</v>
      </c>
      <c r="AY225" s="35">
        <v>0</v>
      </c>
      <c r="AZ225" s="35">
        <v>0</v>
      </c>
      <c r="BA225" s="39">
        <f t="shared" si="606"/>
        <v>0</v>
      </c>
      <c r="BB225" s="39">
        <f t="shared" si="598"/>
        <v>0</v>
      </c>
      <c r="BC225" s="39">
        <v>0</v>
      </c>
      <c r="BD225" s="39">
        <v>0</v>
      </c>
      <c r="BE225" s="39">
        <v>0</v>
      </c>
      <c r="BF225" s="39">
        <f t="shared" si="599"/>
        <v>0</v>
      </c>
      <c r="BG225" s="39">
        <v>0</v>
      </c>
      <c r="BH225" s="39">
        <v>0</v>
      </c>
      <c r="BI225" s="39">
        <v>0</v>
      </c>
      <c r="BJ225" s="39">
        <v>0</v>
      </c>
      <c r="BK225" s="39">
        <f t="shared" si="587"/>
        <v>0</v>
      </c>
      <c r="BL225" s="39">
        <v>0</v>
      </c>
      <c r="BM225" s="39">
        <v>0</v>
      </c>
      <c r="BN225" s="39">
        <f t="shared" si="600"/>
        <v>0</v>
      </c>
      <c r="BO225" s="39">
        <v>0</v>
      </c>
      <c r="BP225" s="39">
        <v>0</v>
      </c>
      <c r="BQ225" s="39">
        <v>0</v>
      </c>
      <c r="BR225" s="39">
        <v>0</v>
      </c>
      <c r="BS225" s="39">
        <v>0</v>
      </c>
      <c r="BT225" s="39">
        <v>0</v>
      </c>
      <c r="BU225" s="39">
        <v>0</v>
      </c>
      <c r="BV225" s="39">
        <v>0</v>
      </c>
      <c r="BW225" s="39">
        <v>0</v>
      </c>
      <c r="BX225" s="39"/>
      <c r="BY225" s="39">
        <v>0</v>
      </c>
      <c r="BZ225" s="39">
        <f t="shared" si="601"/>
        <v>0</v>
      </c>
      <c r="CA225" s="39">
        <f t="shared" si="602"/>
        <v>0</v>
      </c>
      <c r="CB225" s="39">
        <f t="shared" si="588"/>
        <v>0</v>
      </c>
      <c r="CC225" s="39">
        <v>0</v>
      </c>
      <c r="CD225" s="39"/>
      <c r="CE225" s="19">
        <f t="shared" si="603"/>
        <v>0</v>
      </c>
      <c r="CF225" s="39">
        <v>0</v>
      </c>
      <c r="CG225" s="39">
        <v>0</v>
      </c>
      <c r="CH225" s="39">
        <v>0</v>
      </c>
      <c r="CI225" s="39">
        <v>0</v>
      </c>
      <c r="CJ225" s="39">
        <v>0</v>
      </c>
      <c r="CK225" s="39">
        <f t="shared" si="604"/>
        <v>0</v>
      </c>
      <c r="CL225" s="39">
        <v>0</v>
      </c>
      <c r="CM225" s="39"/>
      <c r="CN225" s="39"/>
      <c r="CO225" s="39">
        <v>0</v>
      </c>
      <c r="CP225" s="75"/>
      <c r="CQ225" s="75"/>
      <c r="CR225" s="75"/>
      <c r="CS225" s="39">
        <f t="shared" ref="CS225" si="624">SUM(CT225)</f>
        <v>0</v>
      </c>
      <c r="CT225" s="39">
        <f t="shared" si="590"/>
        <v>0</v>
      </c>
      <c r="CU225" s="39">
        <v>0</v>
      </c>
      <c r="CV225" s="41">
        <v>0</v>
      </c>
      <c r="CW225" s="52"/>
    </row>
    <row r="226" spans="1:101" s="52" customFormat="1" ht="46.8" x14ac:dyDescent="0.3">
      <c r="A226" s="108"/>
      <c r="B226" s="42">
        <v>147</v>
      </c>
      <c r="C226" s="43" t="s">
        <v>612</v>
      </c>
      <c r="D226" s="39">
        <f t="shared" si="607"/>
        <v>821924</v>
      </c>
      <c r="E226" s="39">
        <f t="shared" si="594"/>
        <v>821924</v>
      </c>
      <c r="F226" s="39">
        <f t="shared" ref="F226" si="625">SUM(G226+H226+I226+P226+S226+T226+U226+AE226+AD226)</f>
        <v>0</v>
      </c>
      <c r="G226" s="39">
        <v>0</v>
      </c>
      <c r="H226" s="39">
        <v>0</v>
      </c>
      <c r="I226" s="39">
        <f t="shared" ref="I226" si="626">SUM(J226:O226)</f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/>
      <c r="P226" s="39">
        <f t="shared" ref="P226" si="627">SUM(Q226:R226)</f>
        <v>0</v>
      </c>
      <c r="Q226" s="39">
        <v>0</v>
      </c>
      <c r="R226" s="39">
        <v>0</v>
      </c>
      <c r="S226" s="39">
        <v>0</v>
      </c>
      <c r="T226" s="39">
        <v>0</v>
      </c>
      <c r="U226" s="39">
        <f t="shared" ref="U226" si="628">SUM(V226:AC226)</f>
        <v>0</v>
      </c>
      <c r="V226" s="39">
        <v>0</v>
      </c>
      <c r="W226" s="39">
        <v>0</v>
      </c>
      <c r="X226" s="39">
        <v>0</v>
      </c>
      <c r="Y226" s="39">
        <v>0</v>
      </c>
      <c r="Z226" s="39">
        <v>0</v>
      </c>
      <c r="AA226" s="39">
        <v>0</v>
      </c>
      <c r="AB226" s="39">
        <v>0</v>
      </c>
      <c r="AC226" s="39">
        <v>0</v>
      </c>
      <c r="AD226" s="39">
        <v>0</v>
      </c>
      <c r="AE226" s="39">
        <f t="shared" si="597"/>
        <v>0</v>
      </c>
      <c r="AF226" s="40"/>
      <c r="AG226" s="40"/>
      <c r="AH226" s="35">
        <v>0</v>
      </c>
      <c r="AI226" s="35">
        <v>0</v>
      </c>
      <c r="AJ226" s="35">
        <v>0</v>
      </c>
      <c r="AK226" s="35">
        <v>0</v>
      </c>
      <c r="AL226" s="35">
        <v>0</v>
      </c>
      <c r="AM226" s="35">
        <v>0</v>
      </c>
      <c r="AN226" s="35">
        <v>0</v>
      </c>
      <c r="AO226" s="35">
        <v>0</v>
      </c>
      <c r="AP226" s="35">
        <v>0</v>
      </c>
      <c r="AQ226" s="35">
        <v>0</v>
      </c>
      <c r="AR226" s="35">
        <v>0</v>
      </c>
      <c r="AS226" s="35">
        <v>0</v>
      </c>
      <c r="AT226" s="35">
        <v>0</v>
      </c>
      <c r="AU226" s="35">
        <v>0</v>
      </c>
      <c r="AV226" s="35">
        <v>0</v>
      </c>
      <c r="AW226" s="35">
        <v>0</v>
      </c>
      <c r="AX226" s="35">
        <v>0</v>
      </c>
      <c r="AY226" s="35">
        <v>0</v>
      </c>
      <c r="AZ226" s="35"/>
      <c r="BA226" s="39">
        <f t="shared" si="606"/>
        <v>821924</v>
      </c>
      <c r="BB226" s="39">
        <f t="shared" ref="BB226" si="629">SUM(BC226:BE226)</f>
        <v>0</v>
      </c>
      <c r="BC226" s="39">
        <v>0</v>
      </c>
      <c r="BD226" s="39">
        <v>0</v>
      </c>
      <c r="BE226" s="39">
        <v>0</v>
      </c>
      <c r="BF226" s="39">
        <f t="shared" ref="BF226" si="630">SUM(BH226:BH226)</f>
        <v>0</v>
      </c>
      <c r="BG226" s="39">
        <v>0</v>
      </c>
      <c r="BH226" s="39">
        <v>0</v>
      </c>
      <c r="BI226" s="39">
        <v>821924</v>
      </c>
      <c r="BJ226" s="39">
        <v>0</v>
      </c>
      <c r="BK226" s="39">
        <f t="shared" ref="BK226" si="631">SUM(BL226)</f>
        <v>0</v>
      </c>
      <c r="BL226" s="39">
        <v>0</v>
      </c>
      <c r="BM226" s="39">
        <v>0</v>
      </c>
      <c r="BN226" s="39">
        <f>SUM(BO226:BY226)</f>
        <v>0</v>
      </c>
      <c r="BO226" s="39">
        <v>0</v>
      </c>
      <c r="BP226" s="39">
        <v>0</v>
      </c>
      <c r="BQ226" s="39">
        <v>0</v>
      </c>
      <c r="BR226" s="39">
        <v>0</v>
      </c>
      <c r="BS226" s="39">
        <v>0</v>
      </c>
      <c r="BT226" s="39">
        <v>0</v>
      </c>
      <c r="BU226" s="39">
        <v>0</v>
      </c>
      <c r="BV226" s="39">
        <v>0</v>
      </c>
      <c r="BW226" s="39">
        <v>0</v>
      </c>
      <c r="BX226" s="39">
        <v>0</v>
      </c>
      <c r="BY226" s="39">
        <v>0</v>
      </c>
      <c r="BZ226" s="39">
        <f t="shared" si="601"/>
        <v>0</v>
      </c>
      <c r="CA226" s="39">
        <f t="shared" si="602"/>
        <v>0</v>
      </c>
      <c r="CB226" s="39">
        <f t="shared" ref="CB226" si="632">SUM(CC226:CD226)</f>
        <v>0</v>
      </c>
      <c r="CC226" s="39">
        <v>0</v>
      </c>
      <c r="CD226" s="39">
        <v>0</v>
      </c>
      <c r="CE226" s="19">
        <f t="shared" si="603"/>
        <v>0</v>
      </c>
      <c r="CF226" s="39">
        <v>0</v>
      </c>
      <c r="CG226" s="39">
        <v>0</v>
      </c>
      <c r="CH226" s="39">
        <v>0</v>
      </c>
      <c r="CI226" s="39">
        <v>0</v>
      </c>
      <c r="CJ226" s="39">
        <v>0</v>
      </c>
      <c r="CK226" s="39">
        <f t="shared" si="604"/>
        <v>0</v>
      </c>
      <c r="CL226" s="39">
        <v>0</v>
      </c>
      <c r="CM226" s="39">
        <v>0</v>
      </c>
      <c r="CN226" s="39"/>
      <c r="CO226" s="39">
        <v>0</v>
      </c>
      <c r="CP226" s="75"/>
      <c r="CQ226" s="75"/>
      <c r="CR226" s="75"/>
      <c r="CS226" s="39">
        <f t="shared" ref="CS226" si="633">SUM(CT226)</f>
        <v>0</v>
      </c>
      <c r="CT226" s="39">
        <f t="shared" ref="CT226" si="634">SUM(CU226:CV226)</f>
        <v>0</v>
      </c>
      <c r="CU226" s="39">
        <v>0</v>
      </c>
      <c r="CV226" s="41">
        <v>0</v>
      </c>
    </row>
    <row r="227" spans="1:101" ht="31.2" x14ac:dyDescent="0.3">
      <c r="A227" s="105" t="s">
        <v>1</v>
      </c>
      <c r="B227" s="36" t="s">
        <v>77</v>
      </c>
      <c r="C227" s="37" t="s">
        <v>341</v>
      </c>
      <c r="D227" s="19">
        <f t="shared" si="607"/>
        <v>509352</v>
      </c>
      <c r="E227" s="19">
        <f t="shared" si="594"/>
        <v>509352</v>
      </c>
      <c r="F227" s="19">
        <f t="shared" si="595"/>
        <v>0</v>
      </c>
      <c r="G227" s="19">
        <v>0</v>
      </c>
      <c r="H227" s="19">
        <v>0</v>
      </c>
      <c r="I227" s="19">
        <f t="shared" ref="I227:I228" si="635">SUM(J227:O227)</f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f>32507-32507</f>
        <v>0</v>
      </c>
      <c r="P227" s="19">
        <f t="shared" si="585"/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f t="shared" si="596"/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f t="shared" si="597"/>
        <v>0</v>
      </c>
      <c r="AF227" s="19">
        <v>0</v>
      </c>
      <c r="AG227" s="19">
        <v>0</v>
      </c>
      <c r="AH227" s="19">
        <v>0</v>
      </c>
      <c r="AI227" s="19">
        <v>0</v>
      </c>
      <c r="AJ227" s="24"/>
      <c r="AK227" s="24"/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>
        <v>0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0</v>
      </c>
      <c r="AY227" s="19">
        <v>0</v>
      </c>
      <c r="AZ227" s="24">
        <v>0</v>
      </c>
      <c r="BA227" s="39">
        <f>SUM(BB227+BF227+BI227+BK227+BN227)</f>
        <v>509352</v>
      </c>
      <c r="BB227" s="19">
        <f t="shared" si="598"/>
        <v>0</v>
      </c>
      <c r="BC227" s="19">
        <v>0</v>
      </c>
      <c r="BD227" s="19">
        <v>0</v>
      </c>
      <c r="BE227" s="19">
        <v>0</v>
      </c>
      <c r="BF227" s="19">
        <f t="shared" si="599"/>
        <v>0</v>
      </c>
      <c r="BG227" s="19">
        <v>0</v>
      </c>
      <c r="BH227" s="19">
        <v>0</v>
      </c>
      <c r="BI227" s="19">
        <f>BJ227</f>
        <v>509352</v>
      </c>
      <c r="BJ227" s="19">
        <v>509352</v>
      </c>
      <c r="BK227" s="19">
        <f t="shared" si="587"/>
        <v>0</v>
      </c>
      <c r="BL227" s="19">
        <v>0</v>
      </c>
      <c r="BM227" s="19">
        <v>0</v>
      </c>
      <c r="BN227" s="19">
        <f t="shared" si="600"/>
        <v>0</v>
      </c>
      <c r="BO227" s="19">
        <v>0</v>
      </c>
      <c r="BP227" s="19">
        <v>0</v>
      </c>
      <c r="BQ227" s="19">
        <v>0</v>
      </c>
      <c r="BR227" s="19">
        <v>0</v>
      </c>
      <c r="BS227" s="19">
        <v>0</v>
      </c>
      <c r="BT227" s="19">
        <v>0</v>
      </c>
      <c r="BU227" s="19">
        <v>0</v>
      </c>
      <c r="BV227" s="19">
        <v>0</v>
      </c>
      <c r="BW227" s="19">
        <v>0</v>
      </c>
      <c r="BX227" s="19">
        <v>0</v>
      </c>
      <c r="BY227" s="19">
        <v>0</v>
      </c>
      <c r="BZ227" s="19">
        <f t="shared" si="601"/>
        <v>0</v>
      </c>
      <c r="CA227" s="19">
        <f t="shared" si="602"/>
        <v>0</v>
      </c>
      <c r="CB227" s="19">
        <f t="shared" ref="CB227:CB228" si="636">SUM(CC227:CD227)</f>
        <v>0</v>
      </c>
      <c r="CC227" s="19">
        <v>0</v>
      </c>
      <c r="CD227" s="19">
        <v>0</v>
      </c>
      <c r="CE227" s="19">
        <f t="shared" si="603"/>
        <v>0</v>
      </c>
      <c r="CF227" s="19">
        <v>0</v>
      </c>
      <c r="CG227" s="19">
        <v>0</v>
      </c>
      <c r="CH227" s="19">
        <v>0</v>
      </c>
      <c r="CI227" s="19">
        <v>0</v>
      </c>
      <c r="CJ227" s="19">
        <v>0</v>
      </c>
      <c r="CK227" s="19">
        <f t="shared" si="604"/>
        <v>0</v>
      </c>
      <c r="CL227" s="19">
        <v>0</v>
      </c>
      <c r="CM227" s="19">
        <v>0</v>
      </c>
      <c r="CN227" s="19"/>
      <c r="CO227" s="19">
        <v>0</v>
      </c>
      <c r="CP227" s="75"/>
      <c r="CQ227" s="75"/>
      <c r="CR227" s="75"/>
      <c r="CS227" s="19">
        <f t="shared" si="589"/>
        <v>0</v>
      </c>
      <c r="CT227" s="19">
        <f t="shared" si="590"/>
        <v>0</v>
      </c>
      <c r="CU227" s="19">
        <v>0</v>
      </c>
      <c r="CV227" s="20">
        <v>0</v>
      </c>
      <c r="CW227" s="52"/>
    </row>
    <row r="228" spans="1:101" ht="46.8" x14ac:dyDescent="0.3">
      <c r="A228" s="105" t="s">
        <v>1</v>
      </c>
      <c r="B228" s="44" t="s">
        <v>77</v>
      </c>
      <c r="C228" s="45" t="s">
        <v>289</v>
      </c>
      <c r="D228" s="19">
        <f t="shared" si="607"/>
        <v>300000</v>
      </c>
      <c r="E228" s="19">
        <f t="shared" si="594"/>
        <v>0</v>
      </c>
      <c r="F228" s="19">
        <f t="shared" si="595"/>
        <v>0</v>
      </c>
      <c r="G228" s="19">
        <v>0</v>
      </c>
      <c r="H228" s="19">
        <v>0</v>
      </c>
      <c r="I228" s="19">
        <f t="shared" si="635"/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f t="shared" si="585"/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f t="shared" si="596"/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f t="shared" si="597"/>
        <v>0</v>
      </c>
      <c r="AF228" s="19">
        <v>0</v>
      </c>
      <c r="AG228" s="19">
        <v>0</v>
      </c>
      <c r="AH228" s="19">
        <v>0</v>
      </c>
      <c r="AI228" s="19">
        <v>0</v>
      </c>
      <c r="AJ228" s="24"/>
      <c r="AK228" s="24"/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0</v>
      </c>
      <c r="AY228" s="19">
        <v>0</v>
      </c>
      <c r="AZ228" s="19">
        <v>0</v>
      </c>
      <c r="BA228" s="19">
        <f>SUM(BB228+BF228+BI228+BK228+BN228)</f>
        <v>0</v>
      </c>
      <c r="BB228" s="19">
        <f t="shared" si="598"/>
        <v>0</v>
      </c>
      <c r="BC228" s="19">
        <v>0</v>
      </c>
      <c r="BD228" s="19">
        <v>0</v>
      </c>
      <c r="BE228" s="19">
        <v>0</v>
      </c>
      <c r="BF228" s="19">
        <f t="shared" si="599"/>
        <v>0</v>
      </c>
      <c r="BG228" s="19">
        <v>0</v>
      </c>
      <c r="BH228" s="19">
        <v>0</v>
      </c>
      <c r="BI228" s="19">
        <v>0</v>
      </c>
      <c r="BJ228" s="19">
        <v>0</v>
      </c>
      <c r="BK228" s="19">
        <f t="shared" si="587"/>
        <v>0</v>
      </c>
      <c r="BL228" s="19">
        <v>0</v>
      </c>
      <c r="BM228" s="19">
        <v>0</v>
      </c>
      <c r="BN228" s="19">
        <f t="shared" si="600"/>
        <v>0</v>
      </c>
      <c r="BO228" s="19">
        <v>0</v>
      </c>
      <c r="BP228" s="19">
        <v>0</v>
      </c>
      <c r="BQ228" s="19">
        <v>0</v>
      </c>
      <c r="BR228" s="19">
        <v>0</v>
      </c>
      <c r="BS228" s="19">
        <v>0</v>
      </c>
      <c r="BT228" s="19">
        <v>0</v>
      </c>
      <c r="BU228" s="19">
        <v>0</v>
      </c>
      <c r="BV228" s="19">
        <v>0</v>
      </c>
      <c r="BW228" s="19">
        <v>0</v>
      </c>
      <c r="BX228" s="19">
        <v>0</v>
      </c>
      <c r="BY228" s="19">
        <v>0</v>
      </c>
      <c r="BZ228" s="19">
        <f t="shared" si="601"/>
        <v>300000</v>
      </c>
      <c r="CA228" s="19">
        <f t="shared" si="602"/>
        <v>300000</v>
      </c>
      <c r="CB228" s="19">
        <f t="shared" si="636"/>
        <v>300000</v>
      </c>
      <c r="CC228" s="19">
        <v>0</v>
      </c>
      <c r="CD228" s="19">
        <v>300000</v>
      </c>
      <c r="CE228" s="19">
        <f t="shared" si="603"/>
        <v>0</v>
      </c>
      <c r="CF228" s="19">
        <v>0</v>
      </c>
      <c r="CG228" s="19">
        <v>0</v>
      </c>
      <c r="CH228" s="19">
        <v>0</v>
      </c>
      <c r="CI228" s="19">
        <v>0</v>
      </c>
      <c r="CJ228" s="19">
        <v>0</v>
      </c>
      <c r="CK228" s="19">
        <f t="shared" si="604"/>
        <v>0</v>
      </c>
      <c r="CL228" s="19">
        <v>0</v>
      </c>
      <c r="CM228" s="19">
        <v>0</v>
      </c>
      <c r="CN228" s="19"/>
      <c r="CO228" s="19">
        <v>0</v>
      </c>
      <c r="CP228" s="75"/>
      <c r="CQ228" s="75"/>
      <c r="CR228" s="75"/>
      <c r="CS228" s="19">
        <f t="shared" si="589"/>
        <v>0</v>
      </c>
      <c r="CT228" s="19">
        <f t="shared" si="590"/>
        <v>0</v>
      </c>
      <c r="CU228" s="19">
        <v>0</v>
      </c>
      <c r="CV228" s="20">
        <v>0</v>
      </c>
      <c r="CW228" s="52"/>
    </row>
    <row r="229" spans="1:101" s="52" customFormat="1" ht="31.2" x14ac:dyDescent="0.3">
      <c r="A229" s="105"/>
      <c r="B229" s="44" t="s">
        <v>77</v>
      </c>
      <c r="C229" s="45" t="s">
        <v>611</v>
      </c>
      <c r="D229" s="19">
        <f t="shared" si="607"/>
        <v>10000000</v>
      </c>
      <c r="E229" s="19">
        <f t="shared" ref="E229" si="637">SUM(F229+BA229)</f>
        <v>10000000</v>
      </c>
      <c r="F229" s="19">
        <f t="shared" ref="F229" si="638">SUM(G229+H229+I229+P229+S229+T229+U229+AE229+AD229)</f>
        <v>0</v>
      </c>
      <c r="G229" s="19">
        <v>0</v>
      </c>
      <c r="H229" s="19">
        <v>0</v>
      </c>
      <c r="I229" s="19">
        <f t="shared" ref="I229" si="639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f>32507-32507</f>
        <v>0</v>
      </c>
      <c r="P229" s="19">
        <f t="shared" ref="P229" si="640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41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f t="shared" ref="AE229" si="642">SUM(AF229:AZ229)</f>
        <v>0</v>
      </c>
      <c r="AF229" s="19">
        <v>0</v>
      </c>
      <c r="AG229" s="19">
        <v>0</v>
      </c>
      <c r="AH229" s="19">
        <v>0</v>
      </c>
      <c r="AI229" s="19">
        <v>0</v>
      </c>
      <c r="AJ229" s="24"/>
      <c r="AK229" s="24"/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24">
        <v>0</v>
      </c>
      <c r="BA229" s="39">
        <f>SUM(BB229+BF229+BI229+BK229+BN229)</f>
        <v>10000000</v>
      </c>
      <c r="BB229" s="19">
        <f t="shared" ref="BB229" si="643">SUM(BC229:BE229)</f>
        <v>0</v>
      </c>
      <c r="BC229" s="19">
        <v>0</v>
      </c>
      <c r="BD229" s="19">
        <v>0</v>
      </c>
      <c r="BE229" s="19">
        <v>0</v>
      </c>
      <c r="BF229" s="19">
        <f t="shared" ref="BF229" si="644">SUM(BH229:BH229)</f>
        <v>0</v>
      </c>
      <c r="BG229" s="19">
        <v>0</v>
      </c>
      <c r="BH229" s="19">
        <v>0</v>
      </c>
      <c r="BI229" s="19">
        <f>0+10000000</f>
        <v>10000000</v>
      </c>
      <c r="BJ229" s="19"/>
      <c r="BK229" s="19">
        <f t="shared" ref="BK229" si="645">SUM(BL229)</f>
        <v>0</v>
      </c>
      <c r="BL229" s="19">
        <v>0</v>
      </c>
      <c r="BM229" s="19">
        <v>0</v>
      </c>
      <c r="BN229" s="19">
        <f t="shared" ref="BN229" si="646">SUM(BO229:BY229)</f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f t="shared" si="601"/>
        <v>0</v>
      </c>
      <c r="CA229" s="19">
        <f t="shared" ref="CA229" si="647">SUM(CB229+CE229+CK229)</f>
        <v>0</v>
      </c>
      <c r="CB229" s="19">
        <f t="shared" ref="CB229" si="648">SUM(CC229:CD229)</f>
        <v>0</v>
      </c>
      <c r="CC229" s="19">
        <v>0</v>
      </c>
      <c r="CD229" s="19">
        <v>0</v>
      </c>
      <c r="CE229" s="19">
        <f t="shared" ref="CE229" si="649">SUM(CF229:CJ229)</f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f t="shared" si="604"/>
        <v>0</v>
      </c>
      <c r="CL229" s="19">
        <v>0</v>
      </c>
      <c r="CM229" s="19">
        <v>0</v>
      </c>
      <c r="CN229" s="19"/>
      <c r="CO229" s="19">
        <v>0</v>
      </c>
      <c r="CP229" s="75"/>
      <c r="CQ229" s="75"/>
      <c r="CR229" s="75"/>
      <c r="CS229" s="19"/>
      <c r="CT229" s="19"/>
      <c r="CU229" s="19"/>
      <c r="CV229" s="20"/>
    </row>
    <row r="230" spans="1:101" s="52" customFormat="1" ht="46.8" x14ac:dyDescent="0.3">
      <c r="A230" s="108"/>
      <c r="B230" s="42" t="s">
        <v>78</v>
      </c>
      <c r="C230" s="43" t="s">
        <v>452</v>
      </c>
      <c r="D230" s="39">
        <f t="shared" si="607"/>
        <v>1875000</v>
      </c>
      <c r="E230" s="39">
        <f t="shared" si="594"/>
        <v>1875000</v>
      </c>
      <c r="F230" s="39">
        <f t="shared" si="595"/>
        <v>1875000</v>
      </c>
      <c r="G230" s="39">
        <v>0</v>
      </c>
      <c r="H230" s="39">
        <v>0</v>
      </c>
      <c r="I230" s="39">
        <f t="shared" ref="I230" si="650">SUM(J230:O230)</f>
        <v>0</v>
      </c>
      <c r="J230" s="39">
        <v>0</v>
      </c>
      <c r="K230" s="39">
        <v>0</v>
      </c>
      <c r="L230" s="39">
        <v>0</v>
      </c>
      <c r="M230" s="39">
        <v>0</v>
      </c>
      <c r="N230" s="39">
        <v>0</v>
      </c>
      <c r="O230" s="39">
        <v>0</v>
      </c>
      <c r="P230" s="39">
        <f t="shared" ref="P230" si="651">SUM(Q230:R230)</f>
        <v>0</v>
      </c>
      <c r="Q230" s="39">
        <v>0</v>
      </c>
      <c r="R230" s="39">
        <v>0</v>
      </c>
      <c r="S230" s="39">
        <v>0</v>
      </c>
      <c r="T230" s="39">
        <v>0</v>
      </c>
      <c r="U230" s="39">
        <f t="shared" si="596"/>
        <v>0</v>
      </c>
      <c r="V230" s="39">
        <v>0</v>
      </c>
      <c r="W230" s="39">
        <v>0</v>
      </c>
      <c r="X230" s="39">
        <v>0</v>
      </c>
      <c r="Y230" s="39">
        <v>0</v>
      </c>
      <c r="Z230" s="39">
        <v>0</v>
      </c>
      <c r="AA230" s="39">
        <v>0</v>
      </c>
      <c r="AB230" s="39">
        <v>0</v>
      </c>
      <c r="AC230" s="39">
        <v>0</v>
      </c>
      <c r="AD230" s="39">
        <v>0</v>
      </c>
      <c r="AE230" s="39">
        <f t="shared" si="597"/>
        <v>1875000</v>
      </c>
      <c r="AF230" s="40"/>
      <c r="AG230" s="40"/>
      <c r="AH230" s="39">
        <v>0</v>
      </c>
      <c r="AI230" s="39">
        <v>0</v>
      </c>
      <c r="AJ230" s="39">
        <v>0</v>
      </c>
      <c r="AK230" s="39">
        <v>0</v>
      </c>
      <c r="AL230" s="39">
        <v>0</v>
      </c>
      <c r="AM230" s="39">
        <v>0</v>
      </c>
      <c r="AN230" s="39">
        <v>0</v>
      </c>
      <c r="AO230" s="39">
        <v>0</v>
      </c>
      <c r="AP230" s="39">
        <v>0</v>
      </c>
      <c r="AQ230" s="39">
        <v>0</v>
      </c>
      <c r="AR230" s="39">
        <v>0</v>
      </c>
      <c r="AS230" s="39">
        <v>0</v>
      </c>
      <c r="AT230" s="39">
        <v>0</v>
      </c>
      <c r="AU230" s="39">
        <v>0</v>
      </c>
      <c r="AV230" s="39">
        <v>0</v>
      </c>
      <c r="AW230" s="39">
        <v>0</v>
      </c>
      <c r="AX230" s="39">
        <v>0</v>
      </c>
      <c r="AY230" s="39">
        <v>0</v>
      </c>
      <c r="AZ230" s="35">
        <v>1875000</v>
      </c>
      <c r="BA230" s="39">
        <f>SUM(BB230+BF230+BI230+BK230+BN230)</f>
        <v>0</v>
      </c>
      <c r="BB230" s="39">
        <f t="shared" si="598"/>
        <v>0</v>
      </c>
      <c r="BC230" s="39">
        <v>0</v>
      </c>
      <c r="BD230" s="39">
        <v>0</v>
      </c>
      <c r="BE230" s="39">
        <v>0</v>
      </c>
      <c r="BF230" s="39">
        <f t="shared" si="599"/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si="587"/>
        <v>0</v>
      </c>
      <c r="BL230" s="39">
        <v>0</v>
      </c>
      <c r="BM230" s="39">
        <v>0</v>
      </c>
      <c r="BN230" s="39">
        <f t="shared" si="600"/>
        <v>0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0</v>
      </c>
      <c r="BY230" s="39">
        <v>0</v>
      </c>
      <c r="BZ230" s="39">
        <f t="shared" si="601"/>
        <v>0</v>
      </c>
      <c r="CA230" s="39">
        <f t="shared" si="602"/>
        <v>0</v>
      </c>
      <c r="CB230" s="39">
        <f t="shared" ref="CB230" si="652">SUM(CC230:CD230)</f>
        <v>0</v>
      </c>
      <c r="CC230" s="39">
        <v>0</v>
      </c>
      <c r="CD230" s="39">
        <v>0</v>
      </c>
      <c r="CE230" s="19">
        <f t="shared" si="603"/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 t="shared" si="604"/>
        <v>0</v>
      </c>
      <c r="CL230" s="39">
        <v>0</v>
      </c>
      <c r="CM230" s="39">
        <v>0</v>
      </c>
      <c r="CN230" s="39"/>
      <c r="CO230" s="39">
        <v>0</v>
      </c>
      <c r="CP230" s="75"/>
      <c r="CQ230" s="75"/>
      <c r="CR230" s="75"/>
      <c r="CS230" s="39">
        <f t="shared" si="589"/>
        <v>0</v>
      </c>
      <c r="CT230" s="39">
        <f t="shared" si="590"/>
        <v>0</v>
      </c>
      <c r="CU230" s="39">
        <v>0</v>
      </c>
      <c r="CV230" s="41">
        <v>0</v>
      </c>
    </row>
    <row r="231" spans="1:101" s="52" customFormat="1" ht="15.6" x14ac:dyDescent="0.3">
      <c r="A231" s="104"/>
      <c r="B231" s="16"/>
      <c r="C231" s="17" t="s">
        <v>503</v>
      </c>
      <c r="D231" s="18">
        <f t="shared" ref="D231:AI231" si="653">SUM(D232:D255)</f>
        <v>234857110</v>
      </c>
      <c r="E231" s="18">
        <f t="shared" si="653"/>
        <v>224708037</v>
      </c>
      <c r="F231" s="18">
        <f t="shared" si="653"/>
        <v>224466438</v>
      </c>
      <c r="G231" s="18">
        <f t="shared" si="653"/>
        <v>109980601</v>
      </c>
      <c r="H231" s="18">
        <f t="shared" si="653"/>
        <v>21831843</v>
      </c>
      <c r="I231" s="18">
        <f t="shared" si="653"/>
        <v>47923156</v>
      </c>
      <c r="J231" s="18">
        <f t="shared" si="653"/>
        <v>14704083</v>
      </c>
      <c r="K231" s="18">
        <f t="shared" si="653"/>
        <v>1461033</v>
      </c>
      <c r="L231" s="18">
        <f t="shared" si="653"/>
        <v>2507182</v>
      </c>
      <c r="M231" s="18">
        <f t="shared" si="653"/>
        <v>20000</v>
      </c>
      <c r="N231" s="18">
        <f t="shared" si="653"/>
        <v>8821443</v>
      </c>
      <c r="O231" s="18">
        <f t="shared" si="653"/>
        <v>20409415</v>
      </c>
      <c r="P231" s="18">
        <f t="shared" si="653"/>
        <v>664914</v>
      </c>
      <c r="Q231" s="18">
        <f t="shared" si="653"/>
        <v>98031</v>
      </c>
      <c r="R231" s="18">
        <f t="shared" si="653"/>
        <v>566883</v>
      </c>
      <c r="S231" s="18">
        <f t="shared" si="653"/>
        <v>73517</v>
      </c>
      <c r="T231" s="18">
        <f t="shared" si="653"/>
        <v>1530331</v>
      </c>
      <c r="U231" s="18">
        <f t="shared" si="653"/>
        <v>13158569</v>
      </c>
      <c r="V231" s="18">
        <f t="shared" si="653"/>
        <v>3473587</v>
      </c>
      <c r="W231" s="18">
        <f t="shared" si="653"/>
        <v>5391929</v>
      </c>
      <c r="X231" s="18">
        <f t="shared" si="653"/>
        <v>1861324</v>
      </c>
      <c r="Y231" s="18">
        <f t="shared" si="653"/>
        <v>1343661</v>
      </c>
      <c r="Z231" s="18">
        <f t="shared" si="653"/>
        <v>754676</v>
      </c>
      <c r="AA231" s="18">
        <f t="shared" si="653"/>
        <v>137722</v>
      </c>
      <c r="AB231" s="18">
        <f t="shared" si="653"/>
        <v>0</v>
      </c>
      <c r="AC231" s="18">
        <f t="shared" si="653"/>
        <v>195670</v>
      </c>
      <c r="AD231" s="18">
        <f t="shared" si="653"/>
        <v>0</v>
      </c>
      <c r="AE231" s="18">
        <f t="shared" si="653"/>
        <v>29303507</v>
      </c>
      <c r="AF231" s="18">
        <f t="shared" si="653"/>
        <v>0</v>
      </c>
      <c r="AG231" s="18">
        <f t="shared" si="653"/>
        <v>0</v>
      </c>
      <c r="AH231" s="18">
        <f t="shared" si="653"/>
        <v>2845092</v>
      </c>
      <c r="AI231" s="18">
        <f t="shared" si="653"/>
        <v>7391671</v>
      </c>
      <c r="AJ231" s="18">
        <f t="shared" ref="AJ231:BO231" si="654">SUM(AJ232:AJ255)</f>
        <v>270160</v>
      </c>
      <c r="AK231" s="18">
        <f t="shared" si="654"/>
        <v>399263</v>
      </c>
      <c r="AL231" s="18">
        <f t="shared" si="654"/>
        <v>5700</v>
      </c>
      <c r="AM231" s="18">
        <f t="shared" si="654"/>
        <v>324985</v>
      </c>
      <c r="AN231" s="18">
        <f t="shared" si="654"/>
        <v>2543989</v>
      </c>
      <c r="AO231" s="18">
        <f t="shared" si="654"/>
        <v>15000</v>
      </c>
      <c r="AP231" s="18">
        <f t="shared" si="654"/>
        <v>20600</v>
      </c>
      <c r="AQ231" s="18">
        <f t="shared" si="654"/>
        <v>392843</v>
      </c>
      <c r="AR231" s="18">
        <f t="shared" si="654"/>
        <v>215000</v>
      </c>
      <c r="AS231" s="18">
        <f t="shared" si="654"/>
        <v>604469</v>
      </c>
      <c r="AT231" s="18">
        <f t="shared" si="654"/>
        <v>0</v>
      </c>
      <c r="AU231" s="18">
        <f t="shared" si="654"/>
        <v>3618</v>
      </c>
      <c r="AV231" s="18">
        <f t="shared" si="654"/>
        <v>0</v>
      </c>
      <c r="AW231" s="18">
        <f t="shared" si="654"/>
        <v>1230675</v>
      </c>
      <c r="AX231" s="18">
        <f t="shared" si="654"/>
        <v>431927</v>
      </c>
      <c r="AY231" s="18">
        <f t="shared" si="654"/>
        <v>100000</v>
      </c>
      <c r="AZ231" s="18">
        <f t="shared" si="654"/>
        <v>12508515</v>
      </c>
      <c r="BA231" s="18">
        <f t="shared" si="654"/>
        <v>241599</v>
      </c>
      <c r="BB231" s="18">
        <f t="shared" si="654"/>
        <v>0</v>
      </c>
      <c r="BC231" s="18">
        <f t="shared" si="654"/>
        <v>0</v>
      </c>
      <c r="BD231" s="18">
        <f t="shared" si="654"/>
        <v>0</v>
      </c>
      <c r="BE231" s="18">
        <f t="shared" si="654"/>
        <v>0</v>
      </c>
      <c r="BF231" s="18">
        <f t="shared" si="654"/>
        <v>0</v>
      </c>
      <c r="BG231" s="18">
        <f t="shared" si="654"/>
        <v>0</v>
      </c>
      <c r="BH231" s="18">
        <f t="shared" si="654"/>
        <v>0</v>
      </c>
      <c r="BI231" s="18">
        <f t="shared" si="654"/>
        <v>0</v>
      </c>
      <c r="BJ231" s="18">
        <f t="shared" si="654"/>
        <v>0</v>
      </c>
      <c r="BK231" s="18">
        <f t="shared" si="654"/>
        <v>0</v>
      </c>
      <c r="BL231" s="18">
        <f t="shared" si="654"/>
        <v>0</v>
      </c>
      <c r="BM231" s="18">
        <f t="shared" si="654"/>
        <v>0</v>
      </c>
      <c r="BN231" s="18">
        <f t="shared" si="654"/>
        <v>241599</v>
      </c>
      <c r="BO231" s="18">
        <f t="shared" si="654"/>
        <v>0</v>
      </c>
      <c r="BP231" s="18">
        <f t="shared" ref="BP231:CM231" si="655">SUM(BP232:BP255)</f>
        <v>0</v>
      </c>
      <c r="BQ231" s="18">
        <f t="shared" si="655"/>
        <v>0</v>
      </c>
      <c r="BR231" s="18">
        <f t="shared" si="655"/>
        <v>0</v>
      </c>
      <c r="BS231" s="18">
        <f t="shared" si="655"/>
        <v>0</v>
      </c>
      <c r="BT231" s="18">
        <f t="shared" si="655"/>
        <v>0</v>
      </c>
      <c r="BU231" s="18">
        <f t="shared" si="655"/>
        <v>0</v>
      </c>
      <c r="BV231" s="18">
        <f t="shared" si="655"/>
        <v>0</v>
      </c>
      <c r="BW231" s="18">
        <f t="shared" si="655"/>
        <v>0</v>
      </c>
      <c r="BX231" s="18">
        <f t="shared" si="655"/>
        <v>38855</v>
      </c>
      <c r="BY231" s="18">
        <f t="shared" si="655"/>
        <v>202744</v>
      </c>
      <c r="BZ231" s="18">
        <f t="shared" si="655"/>
        <v>10149073</v>
      </c>
      <c r="CA231" s="18">
        <f t="shared" si="655"/>
        <v>10149073</v>
      </c>
      <c r="CB231" s="18">
        <f t="shared" si="655"/>
        <v>8504025</v>
      </c>
      <c r="CC231" s="18">
        <f t="shared" si="655"/>
        <v>310560</v>
      </c>
      <c r="CD231" s="18">
        <f t="shared" si="655"/>
        <v>8193465</v>
      </c>
      <c r="CE231" s="18">
        <f t="shared" si="655"/>
        <v>352106</v>
      </c>
      <c r="CF231" s="18">
        <f t="shared" si="655"/>
        <v>0</v>
      </c>
      <c r="CG231" s="18">
        <f t="shared" si="655"/>
        <v>0</v>
      </c>
      <c r="CH231" s="18">
        <f t="shared" si="655"/>
        <v>0</v>
      </c>
      <c r="CI231" s="18">
        <f t="shared" si="655"/>
        <v>0</v>
      </c>
      <c r="CJ231" s="18">
        <f t="shared" si="655"/>
        <v>352106</v>
      </c>
      <c r="CK231" s="18">
        <f t="shared" si="655"/>
        <v>1292942</v>
      </c>
      <c r="CL231" s="18">
        <f t="shared" si="655"/>
        <v>300000</v>
      </c>
      <c r="CM231" s="18">
        <f t="shared" si="655"/>
        <v>992942</v>
      </c>
      <c r="CN231" s="18"/>
      <c r="CO231" s="18">
        <f>SUM(CO232:CO255)</f>
        <v>0</v>
      </c>
      <c r="CP231" s="74"/>
      <c r="CQ231" s="74"/>
      <c r="CR231" s="74"/>
      <c r="CS231" s="18">
        <f>SUM(CS232:CS255)</f>
        <v>0</v>
      </c>
      <c r="CT231" s="18">
        <f>SUM(CT232:CT255)</f>
        <v>0</v>
      </c>
      <c r="CU231" s="18">
        <f>SUM(CU232:CU255)</f>
        <v>0</v>
      </c>
      <c r="CV231" s="46">
        <f>SUM(CV232:CV255)</f>
        <v>0</v>
      </c>
    </row>
    <row r="232" spans="1:101" s="52" customFormat="1" ht="31.2" x14ac:dyDescent="0.3">
      <c r="A232" s="105" t="s">
        <v>1</v>
      </c>
      <c r="B232" s="21" t="s">
        <v>54</v>
      </c>
      <c r="C232" s="22" t="s">
        <v>504</v>
      </c>
      <c r="D232" s="19">
        <f t="shared" ref="D232:D255" si="656">SUM(E232+BZ232+CS232)</f>
        <v>125750</v>
      </c>
      <c r="E232" s="19">
        <f t="shared" ref="E232:E255" si="657">SUM(F232+BA232)</f>
        <v>125750</v>
      </c>
      <c r="F232" s="19">
        <f t="shared" ref="F232:F255" si="658">SUM(G232+H232+I232+P232+S232+T232+U232+AE232+AD232)</f>
        <v>125750</v>
      </c>
      <c r="G232" s="23">
        <f>12000+15000</f>
        <v>27000</v>
      </c>
      <c r="H232" s="23">
        <f>3000+3750</f>
        <v>6750</v>
      </c>
      <c r="I232" s="19">
        <f t="shared" si="584"/>
        <v>2000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2000</v>
      </c>
      <c r="P232" s="19">
        <f t="shared" si="585"/>
        <v>0</v>
      </c>
      <c r="Q232" s="23">
        <v>0</v>
      </c>
      <c r="R232" s="23">
        <v>0</v>
      </c>
      <c r="S232" s="23">
        <v>0</v>
      </c>
      <c r="T232" s="23">
        <v>0</v>
      </c>
      <c r="U232" s="19">
        <f t="shared" ref="U232:U255" si="659">SUM(V232:AC232)</f>
        <v>0</v>
      </c>
      <c r="V232" s="23">
        <v>0</v>
      </c>
      <c r="W232" s="23">
        <v>0</v>
      </c>
      <c r="X232" s="23">
        <v>0</v>
      </c>
      <c r="Y232" s="23">
        <v>0</v>
      </c>
      <c r="Z232" s="23">
        <v>0</v>
      </c>
      <c r="AA232" s="23">
        <v>0</v>
      </c>
      <c r="AB232" s="23">
        <v>0</v>
      </c>
      <c r="AC232" s="23">
        <v>0</v>
      </c>
      <c r="AD232" s="23"/>
      <c r="AE232" s="19">
        <f t="shared" ref="AE232:AE255" si="660">SUM(AF232:AZ232)</f>
        <v>90000</v>
      </c>
      <c r="AF232" s="24">
        <v>0</v>
      </c>
      <c r="AG232" s="24">
        <v>0</v>
      </c>
      <c r="AH232" s="23">
        <v>0</v>
      </c>
      <c r="AI232" s="23">
        <v>0</v>
      </c>
      <c r="AJ232" s="23">
        <v>0</v>
      </c>
      <c r="AK232" s="23">
        <v>0</v>
      </c>
      <c r="AL232" s="23">
        <v>0</v>
      </c>
      <c r="AM232" s="23">
        <v>0</v>
      </c>
      <c r="AN232" s="23">
        <v>75000</v>
      </c>
      <c r="AO232" s="23">
        <v>0</v>
      </c>
      <c r="AP232" s="23">
        <v>0</v>
      </c>
      <c r="AQ232" s="23">
        <v>0</v>
      </c>
      <c r="AR232" s="23">
        <v>0</v>
      </c>
      <c r="AS232" s="23">
        <v>0</v>
      </c>
      <c r="AT232" s="23">
        <v>0</v>
      </c>
      <c r="AU232" s="23">
        <v>0</v>
      </c>
      <c r="AV232" s="23">
        <v>0</v>
      </c>
      <c r="AW232" s="23">
        <v>0</v>
      </c>
      <c r="AX232" s="23">
        <v>0</v>
      </c>
      <c r="AY232" s="23">
        <v>0</v>
      </c>
      <c r="AZ232" s="23">
        <v>15000</v>
      </c>
      <c r="BA232" s="19">
        <f t="shared" ref="BA232:BA255" si="661">SUM(BB232+BF232+BI232+BK232+BN232)</f>
        <v>0</v>
      </c>
      <c r="BB232" s="19">
        <f t="shared" ref="BB232:BB255" si="662">SUM(BC232:BE232)</f>
        <v>0</v>
      </c>
      <c r="BC232" s="19">
        <v>0</v>
      </c>
      <c r="BD232" s="19">
        <v>0</v>
      </c>
      <c r="BE232" s="19">
        <v>0</v>
      </c>
      <c r="BF232" s="19">
        <f t="shared" ref="BF232:BF255" si="663">SUM(BH232:BH232)</f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f t="shared" si="587"/>
        <v>0</v>
      </c>
      <c r="BL232" s="19">
        <v>0</v>
      </c>
      <c r="BM232" s="19">
        <v>0</v>
      </c>
      <c r="BN232" s="19">
        <f t="shared" ref="BN232:BN255" si="664">SUM(BO232:BY232)</f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ref="BZ232:BZ255" si="665">SUM(CA232+CO232)</f>
        <v>0</v>
      </c>
      <c r="CA232" s="19">
        <f t="shared" ref="CA232:CA255" si="666">SUM(CB232+CE232+CK232)</f>
        <v>0</v>
      </c>
      <c r="CB232" s="19">
        <f t="shared" si="588"/>
        <v>0</v>
      </c>
      <c r="CC232" s="24"/>
      <c r="CD232" s="23">
        <v>0</v>
      </c>
      <c r="CE232" s="19">
        <f t="shared" ref="CE232:CE255" si="667">SUM(CF232:CJ232)</f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ref="CK232:CK255" si="668">SUM(CL232:CN232)</f>
        <v>0</v>
      </c>
      <c r="CL232" s="51">
        <v>0</v>
      </c>
      <c r="CM232" s="19">
        <v>0</v>
      </c>
      <c r="CN232" s="19">
        <v>0</v>
      </c>
      <c r="CO232" s="19">
        <v>0</v>
      </c>
      <c r="CP232" s="75"/>
      <c r="CQ232" s="75"/>
      <c r="CR232" s="75"/>
      <c r="CS232" s="19">
        <f t="shared" si="589"/>
        <v>0</v>
      </c>
      <c r="CT232" s="19">
        <f t="shared" si="590"/>
        <v>0</v>
      </c>
      <c r="CU232" s="19">
        <v>0</v>
      </c>
      <c r="CV232" s="20">
        <v>0</v>
      </c>
    </row>
    <row r="233" spans="1:101" s="52" customFormat="1" ht="31.2" x14ac:dyDescent="0.3">
      <c r="A233" s="105" t="s">
        <v>1</v>
      </c>
      <c r="B233" s="21" t="s">
        <v>56</v>
      </c>
      <c r="C233" s="22" t="s">
        <v>505</v>
      </c>
      <c r="D233" s="19">
        <f t="shared" si="656"/>
        <v>2358302</v>
      </c>
      <c r="E233" s="19">
        <f t="shared" si="657"/>
        <v>2358302</v>
      </c>
      <c r="F233" s="19">
        <f t="shared" si="658"/>
        <v>2358302</v>
      </c>
      <c r="G233" s="23">
        <f>752812+22784</f>
        <v>775596</v>
      </c>
      <c r="H233" s="23">
        <v>213204</v>
      </c>
      <c r="I233" s="19">
        <f t="shared" si="584"/>
        <v>886040</v>
      </c>
      <c r="J233" s="23">
        <v>20000</v>
      </c>
      <c r="K233" s="23">
        <v>0</v>
      </c>
      <c r="L233" s="23">
        <f>787047+34945</f>
        <v>821992</v>
      </c>
      <c r="M233" s="23">
        <v>0</v>
      </c>
      <c r="N233" s="23">
        <v>28048</v>
      </c>
      <c r="O233" s="23">
        <v>16000</v>
      </c>
      <c r="P233" s="19">
        <f t="shared" si="585"/>
        <v>0</v>
      </c>
      <c r="Q233" s="23">
        <v>0</v>
      </c>
      <c r="R233" s="23">
        <v>0</v>
      </c>
      <c r="S233" s="23">
        <v>0</v>
      </c>
      <c r="T233" s="23">
        <v>6556</v>
      </c>
      <c r="U233" s="19">
        <f t="shared" si="659"/>
        <v>133647</v>
      </c>
      <c r="V233" s="23">
        <f>11000+10000</f>
        <v>21000</v>
      </c>
      <c r="W233" s="23">
        <f>42599+10362</f>
        <v>52961</v>
      </c>
      <c r="X233" s="23">
        <f>21024+8180</f>
        <v>29204</v>
      </c>
      <c r="Y233" s="23">
        <v>23058</v>
      </c>
      <c r="Z233" s="23">
        <v>7424</v>
      </c>
      <c r="AA233" s="23">
        <v>0</v>
      </c>
      <c r="AB233" s="23">
        <v>0</v>
      </c>
      <c r="AC233" s="23">
        <v>0</v>
      </c>
      <c r="AD233" s="23"/>
      <c r="AE233" s="19">
        <f t="shared" si="660"/>
        <v>343259</v>
      </c>
      <c r="AF233" s="24">
        <v>0</v>
      </c>
      <c r="AG233" s="24">
        <v>0</v>
      </c>
      <c r="AH233" s="23">
        <v>0</v>
      </c>
      <c r="AI233" s="23">
        <v>0</v>
      </c>
      <c r="AJ233" s="23">
        <v>0</v>
      </c>
      <c r="AK233" s="23">
        <v>0</v>
      </c>
      <c r="AL233" s="23">
        <v>0</v>
      </c>
      <c r="AM233" s="23">
        <v>0</v>
      </c>
      <c r="AN233" s="23">
        <v>0</v>
      </c>
      <c r="AO233" s="23">
        <v>0</v>
      </c>
      <c r="AP233" s="23">
        <v>0</v>
      </c>
      <c r="AQ233" s="23">
        <v>0</v>
      </c>
      <c r="AR233" s="23">
        <v>0</v>
      </c>
      <c r="AS233" s="23">
        <v>14024</v>
      </c>
      <c r="AT233" s="23">
        <v>0</v>
      </c>
      <c r="AU233" s="23">
        <v>0</v>
      </c>
      <c r="AV233" s="23">
        <v>0</v>
      </c>
      <c r="AW233" s="23">
        <v>0</v>
      </c>
      <c r="AX233" s="23">
        <v>0</v>
      </c>
      <c r="AY233" s="23">
        <v>0</v>
      </c>
      <c r="AZ233" s="23">
        <f>254180+75055</f>
        <v>329235</v>
      </c>
      <c r="BA233" s="19">
        <f t="shared" si="661"/>
        <v>0</v>
      </c>
      <c r="BB233" s="19">
        <f t="shared" si="662"/>
        <v>0</v>
      </c>
      <c r="BC233" s="19">
        <v>0</v>
      </c>
      <c r="BD233" s="19">
        <v>0</v>
      </c>
      <c r="BE233" s="19">
        <v>0</v>
      </c>
      <c r="BF233" s="19">
        <f t="shared" si="663"/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587"/>
        <v>0</v>
      </c>
      <c r="BL233" s="19">
        <v>0</v>
      </c>
      <c r="BM233" s="19">
        <v>0</v>
      </c>
      <c r="BN233" s="19">
        <f t="shared" si="664"/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si="665"/>
        <v>0</v>
      </c>
      <c r="CA233" s="19">
        <f t="shared" si="666"/>
        <v>0</v>
      </c>
      <c r="CB233" s="19">
        <f t="shared" si="588"/>
        <v>0</v>
      </c>
      <c r="CC233" s="24"/>
      <c r="CD233" s="23">
        <v>0</v>
      </c>
      <c r="CE233" s="19">
        <f t="shared" si="667"/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si="668"/>
        <v>0</v>
      </c>
      <c r="CL233" s="51">
        <v>0</v>
      </c>
      <c r="CM233" s="19">
        <v>0</v>
      </c>
      <c r="CN233" s="19">
        <v>0</v>
      </c>
      <c r="CO233" s="19">
        <v>0</v>
      </c>
      <c r="CP233" s="75"/>
      <c r="CQ233" s="75"/>
      <c r="CR233" s="75"/>
      <c r="CS233" s="19">
        <f t="shared" si="589"/>
        <v>0</v>
      </c>
      <c r="CT233" s="19">
        <f t="shared" si="590"/>
        <v>0</v>
      </c>
      <c r="CU233" s="19">
        <v>0</v>
      </c>
      <c r="CV233" s="20">
        <v>0</v>
      </c>
    </row>
    <row r="234" spans="1:101" s="52" customFormat="1" ht="31.2" x14ac:dyDescent="0.3">
      <c r="A234" s="105" t="s">
        <v>1</v>
      </c>
      <c r="B234" s="21" t="s">
        <v>58</v>
      </c>
      <c r="C234" s="22" t="s">
        <v>506</v>
      </c>
      <c r="D234" s="19">
        <f t="shared" si="656"/>
        <v>4381164</v>
      </c>
      <c r="E234" s="19">
        <f t="shared" si="657"/>
        <v>4381164</v>
      </c>
      <c r="F234" s="19">
        <f t="shared" si="658"/>
        <v>4381164</v>
      </c>
      <c r="G234" s="23">
        <f>2765630+250000</f>
        <v>3015630</v>
      </c>
      <c r="H234" s="23">
        <f>643988+50000</f>
        <v>693988</v>
      </c>
      <c r="I234" s="19">
        <f>SUM(J234:O234)</f>
        <v>142853</v>
      </c>
      <c r="J234" s="23">
        <v>1740</v>
      </c>
      <c r="K234" s="23">
        <f>116288-116228</f>
        <v>60</v>
      </c>
      <c r="L234" s="23">
        <f>0+116228</f>
        <v>116228</v>
      </c>
      <c r="M234" s="23">
        <v>0</v>
      </c>
      <c r="N234" s="23">
        <v>7825</v>
      </c>
      <c r="O234" s="23">
        <v>17000</v>
      </c>
      <c r="P234" s="19">
        <f>SUM(Q234:R234)</f>
        <v>2046</v>
      </c>
      <c r="Q234" s="23">
        <v>1476</v>
      </c>
      <c r="R234" s="23">
        <v>570</v>
      </c>
      <c r="S234" s="23">
        <v>0</v>
      </c>
      <c r="T234" s="23">
        <v>0</v>
      </c>
      <c r="U234" s="19">
        <f t="shared" si="659"/>
        <v>428206</v>
      </c>
      <c r="V234" s="23">
        <f>10400+15000</f>
        <v>25400</v>
      </c>
      <c r="W234" s="23">
        <f>142474+215318</f>
        <v>357792</v>
      </c>
      <c r="X234" s="23">
        <f>0+12000</f>
        <v>12000</v>
      </c>
      <c r="Y234" s="23">
        <v>16364</v>
      </c>
      <c r="Z234" s="23">
        <f>14150+2500</f>
        <v>16650</v>
      </c>
      <c r="AA234" s="23">
        <v>0</v>
      </c>
      <c r="AB234" s="23">
        <v>0</v>
      </c>
      <c r="AC234" s="23">
        <v>0</v>
      </c>
      <c r="AD234" s="23"/>
      <c r="AE234" s="19">
        <f t="shared" si="660"/>
        <v>98441</v>
      </c>
      <c r="AF234" s="24">
        <v>0</v>
      </c>
      <c r="AG234" s="24">
        <v>0</v>
      </c>
      <c r="AH234" s="23">
        <v>3200</v>
      </c>
      <c r="AI234" s="23">
        <v>4850</v>
      </c>
      <c r="AJ234" s="23">
        <v>3720</v>
      </c>
      <c r="AK234" s="23">
        <v>5940</v>
      </c>
      <c r="AL234" s="23">
        <v>0</v>
      </c>
      <c r="AM234" s="23">
        <v>2866</v>
      </c>
      <c r="AN234" s="23">
        <v>23965</v>
      </c>
      <c r="AO234" s="23">
        <v>0</v>
      </c>
      <c r="AP234" s="23">
        <v>0</v>
      </c>
      <c r="AQ234" s="23">
        <v>0</v>
      </c>
      <c r="AR234" s="23">
        <v>0</v>
      </c>
      <c r="AS234" s="23">
        <v>51600</v>
      </c>
      <c r="AT234" s="23">
        <v>0</v>
      </c>
      <c r="AU234" s="23">
        <v>0</v>
      </c>
      <c r="AV234" s="23">
        <v>0</v>
      </c>
      <c r="AW234" s="23">
        <v>0</v>
      </c>
      <c r="AX234" s="23">
        <v>0</v>
      </c>
      <c r="AY234" s="23">
        <v>0</v>
      </c>
      <c r="AZ234" s="23">
        <v>2300</v>
      </c>
      <c r="BA234" s="19">
        <f t="shared" si="661"/>
        <v>0</v>
      </c>
      <c r="BB234" s="19">
        <f t="shared" si="662"/>
        <v>0</v>
      </c>
      <c r="BC234" s="19">
        <v>0</v>
      </c>
      <c r="BD234" s="19">
        <v>0</v>
      </c>
      <c r="BE234" s="19">
        <v>0</v>
      </c>
      <c r="BF234" s="19">
        <f t="shared" si="663"/>
        <v>0</v>
      </c>
      <c r="BG234" s="19">
        <v>0</v>
      </c>
      <c r="BH234" s="19">
        <v>0</v>
      </c>
      <c r="BI234" s="19">
        <v>0</v>
      </c>
      <c r="BJ234" s="19">
        <v>0</v>
      </c>
      <c r="BK234" s="19">
        <f>SUM(BL234)</f>
        <v>0</v>
      </c>
      <c r="BL234" s="19">
        <v>0</v>
      </c>
      <c r="BM234" s="19">
        <v>0</v>
      </c>
      <c r="BN234" s="19">
        <f t="shared" si="664"/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665"/>
        <v>0</v>
      </c>
      <c r="CA234" s="19">
        <f t="shared" si="666"/>
        <v>0</v>
      </c>
      <c r="CB234" s="19">
        <f>SUM(CC234:CD234)</f>
        <v>0</v>
      </c>
      <c r="CC234" s="24"/>
      <c r="CD234" s="23"/>
      <c r="CE234" s="19">
        <f t="shared" si="667"/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 t="shared" si="668"/>
        <v>0</v>
      </c>
      <c r="CL234" s="51">
        <v>0</v>
      </c>
      <c r="CM234" s="19">
        <v>0</v>
      </c>
      <c r="CN234" s="19">
        <v>0</v>
      </c>
      <c r="CO234" s="19">
        <v>0</v>
      </c>
      <c r="CP234" s="75"/>
      <c r="CQ234" s="75"/>
      <c r="CR234" s="75"/>
      <c r="CS234" s="19">
        <f>SUM(CT234)</f>
        <v>0</v>
      </c>
      <c r="CT234" s="19">
        <f>SUM(CU234:CV234)</f>
        <v>0</v>
      </c>
      <c r="CU234" s="19">
        <v>0</v>
      </c>
      <c r="CV234" s="20">
        <v>0</v>
      </c>
    </row>
    <row r="235" spans="1:101" s="52" customFormat="1" ht="31.2" x14ac:dyDescent="0.3">
      <c r="A235" s="105" t="s">
        <v>1</v>
      </c>
      <c r="B235" s="21" t="s">
        <v>58</v>
      </c>
      <c r="C235" s="22" t="s">
        <v>507</v>
      </c>
      <c r="D235" s="19">
        <f t="shared" si="656"/>
        <v>37873414</v>
      </c>
      <c r="E235" s="19">
        <f t="shared" si="657"/>
        <v>36408999</v>
      </c>
      <c r="F235" s="19">
        <f t="shared" si="658"/>
        <v>36408999</v>
      </c>
      <c r="G235" s="23">
        <f>14307855+208480</f>
        <v>14516335</v>
      </c>
      <c r="H235" s="23">
        <f>3576966+52120</f>
        <v>3629086</v>
      </c>
      <c r="I235" s="19">
        <f t="shared" si="584"/>
        <v>11803432</v>
      </c>
      <c r="J235" s="23">
        <v>6841666</v>
      </c>
      <c r="K235" s="23">
        <v>44863</v>
      </c>
      <c r="L235" s="23">
        <v>43670</v>
      </c>
      <c r="M235" s="23">
        <v>20000</v>
      </c>
      <c r="N235" s="23">
        <v>640285</v>
      </c>
      <c r="O235" s="23">
        <v>4212948</v>
      </c>
      <c r="P235" s="19">
        <f t="shared" si="585"/>
        <v>8000</v>
      </c>
      <c r="Q235" s="23">
        <v>4000</v>
      </c>
      <c r="R235" s="23">
        <v>4000</v>
      </c>
      <c r="S235" s="23">
        <v>5362</v>
      </c>
      <c r="T235" s="23">
        <f>181282+3000</f>
        <v>184282</v>
      </c>
      <c r="U235" s="19">
        <f t="shared" si="659"/>
        <v>2076931</v>
      </c>
      <c r="V235" s="23">
        <f>984281+20000</f>
        <v>1004281</v>
      </c>
      <c r="W235" s="23">
        <f>422597+9995</f>
        <v>432592</v>
      </c>
      <c r="X235" s="23">
        <f>35086+10145</f>
        <v>45231</v>
      </c>
      <c r="Y235" s="23">
        <f>349111+50</f>
        <v>349161</v>
      </c>
      <c r="Z235" s="23">
        <v>195829</v>
      </c>
      <c r="AA235" s="23">
        <v>0</v>
      </c>
      <c r="AB235" s="23">
        <v>0</v>
      </c>
      <c r="AC235" s="23">
        <f>47626+2211</f>
        <v>49837</v>
      </c>
      <c r="AD235" s="23"/>
      <c r="AE235" s="19">
        <f t="shared" si="660"/>
        <v>4185571</v>
      </c>
      <c r="AF235" s="24">
        <v>0</v>
      </c>
      <c r="AG235" s="24">
        <v>0</v>
      </c>
      <c r="AH235" s="23">
        <v>1039683</v>
      </c>
      <c r="AI235" s="23">
        <v>861071</v>
      </c>
      <c r="AJ235" s="23">
        <v>0</v>
      </c>
      <c r="AK235" s="23">
        <v>70341</v>
      </c>
      <c r="AL235" s="23">
        <v>0</v>
      </c>
      <c r="AM235" s="23">
        <v>47332</v>
      </c>
      <c r="AN235" s="23">
        <v>694463</v>
      </c>
      <c r="AO235" s="23">
        <v>0</v>
      </c>
      <c r="AP235" s="23">
        <v>0</v>
      </c>
      <c r="AQ235" s="23">
        <v>0</v>
      </c>
      <c r="AR235" s="23">
        <v>16000</v>
      </c>
      <c r="AS235" s="23">
        <v>110000</v>
      </c>
      <c r="AT235" s="23">
        <v>0</v>
      </c>
      <c r="AU235" s="23">
        <v>3618</v>
      </c>
      <c r="AV235" s="23">
        <v>0</v>
      </c>
      <c r="AW235" s="23">
        <v>0</v>
      </c>
      <c r="AX235" s="23">
        <v>0</v>
      </c>
      <c r="AY235" s="23">
        <v>0</v>
      </c>
      <c r="AZ235" s="23">
        <v>1343063</v>
      </c>
      <c r="BA235" s="19">
        <f t="shared" si="661"/>
        <v>0</v>
      </c>
      <c r="BB235" s="19">
        <f t="shared" si="662"/>
        <v>0</v>
      </c>
      <c r="BC235" s="19">
        <v>0</v>
      </c>
      <c r="BD235" s="19">
        <v>0</v>
      </c>
      <c r="BE235" s="19">
        <v>0</v>
      </c>
      <c r="BF235" s="19">
        <f t="shared" si="663"/>
        <v>0</v>
      </c>
      <c r="BG235" s="19">
        <v>0</v>
      </c>
      <c r="BH235" s="19">
        <v>0</v>
      </c>
      <c r="BI235" s="19">
        <v>0</v>
      </c>
      <c r="BJ235" s="19">
        <v>0</v>
      </c>
      <c r="BK235" s="19">
        <f t="shared" si="587"/>
        <v>0</v>
      </c>
      <c r="BL235" s="19">
        <v>0</v>
      </c>
      <c r="BM235" s="19">
        <v>0</v>
      </c>
      <c r="BN235" s="19">
        <f t="shared" si="664"/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f t="shared" si="665"/>
        <v>1464415</v>
      </c>
      <c r="CA235" s="19">
        <f t="shared" si="666"/>
        <v>1464415</v>
      </c>
      <c r="CB235" s="19">
        <f t="shared" si="588"/>
        <v>1464415</v>
      </c>
      <c r="CC235" s="24"/>
      <c r="CD235" s="23">
        <v>1464415</v>
      </c>
      <c r="CE235" s="19">
        <f t="shared" si="667"/>
        <v>0</v>
      </c>
      <c r="CF235" s="19"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f t="shared" si="668"/>
        <v>0</v>
      </c>
      <c r="CL235" s="51"/>
      <c r="CM235" s="19">
        <v>0</v>
      </c>
      <c r="CN235" s="19">
        <v>0</v>
      </c>
      <c r="CO235" s="19">
        <v>0</v>
      </c>
      <c r="CP235" s="75"/>
      <c r="CQ235" s="75"/>
      <c r="CR235" s="75"/>
      <c r="CS235" s="19">
        <f t="shared" si="589"/>
        <v>0</v>
      </c>
      <c r="CT235" s="19">
        <f t="shared" si="590"/>
        <v>0</v>
      </c>
      <c r="CU235" s="19">
        <v>0</v>
      </c>
      <c r="CV235" s="20">
        <v>0</v>
      </c>
    </row>
    <row r="236" spans="1:101" s="52" customFormat="1" ht="31.2" x14ac:dyDescent="0.3">
      <c r="A236" s="105" t="s">
        <v>1</v>
      </c>
      <c r="B236" s="21" t="s">
        <v>58</v>
      </c>
      <c r="C236" s="22" t="s">
        <v>508</v>
      </c>
      <c r="D236" s="19">
        <f t="shared" si="656"/>
        <v>29347400</v>
      </c>
      <c r="E236" s="19">
        <f t="shared" si="657"/>
        <v>27950400</v>
      </c>
      <c r="F236" s="19">
        <f t="shared" si="658"/>
        <v>27950400</v>
      </c>
      <c r="G236" s="23">
        <f>11327912+250000</f>
        <v>11577912</v>
      </c>
      <c r="H236" s="23">
        <f>2831978+62500</f>
        <v>2894478</v>
      </c>
      <c r="I236" s="19">
        <f t="shared" si="584"/>
        <v>8111349</v>
      </c>
      <c r="J236" s="23">
        <v>5305888</v>
      </c>
      <c r="K236" s="23">
        <v>58000</v>
      </c>
      <c r="L236" s="23">
        <f>17600+544</f>
        <v>18144</v>
      </c>
      <c r="M236" s="23">
        <v>0</v>
      </c>
      <c r="N236" s="23">
        <v>500500</v>
      </c>
      <c r="O236" s="23">
        <v>2228817</v>
      </c>
      <c r="P236" s="19">
        <f t="shared" si="585"/>
        <v>0</v>
      </c>
      <c r="Q236" s="23">
        <v>0</v>
      </c>
      <c r="R236" s="23">
        <v>0</v>
      </c>
      <c r="S236" s="23">
        <v>0</v>
      </c>
      <c r="T236" s="23">
        <v>97160</v>
      </c>
      <c r="U236" s="19">
        <f t="shared" si="659"/>
        <v>1875108</v>
      </c>
      <c r="V236" s="23">
        <f>674182+50000</f>
        <v>724182</v>
      </c>
      <c r="W236" s="23">
        <f>387660+196486</f>
        <v>584146</v>
      </c>
      <c r="X236" s="23">
        <f>40883+133904</f>
        <v>174787</v>
      </c>
      <c r="Y236" s="23">
        <f>150696+31807</f>
        <v>182503</v>
      </c>
      <c r="Z236" s="23">
        <f>91919+55000</f>
        <v>146919</v>
      </c>
      <c r="AA236" s="23">
        <v>54040</v>
      </c>
      <c r="AB236" s="23">
        <v>0</v>
      </c>
      <c r="AC236" s="23">
        <f>8502+29</f>
        <v>8531</v>
      </c>
      <c r="AD236" s="23"/>
      <c r="AE236" s="19">
        <f t="shared" si="660"/>
        <v>3394393</v>
      </c>
      <c r="AF236" s="24">
        <v>0</v>
      </c>
      <c r="AG236" s="24">
        <v>0</v>
      </c>
      <c r="AH236" s="23">
        <v>465572</v>
      </c>
      <c r="AI236" s="23">
        <v>1963613</v>
      </c>
      <c r="AJ236" s="23">
        <v>0</v>
      </c>
      <c r="AK236" s="23">
        <v>28000</v>
      </c>
      <c r="AL236" s="23">
        <v>0</v>
      </c>
      <c r="AM236" s="23">
        <v>13000</v>
      </c>
      <c r="AN236" s="23">
        <v>330000</v>
      </c>
      <c r="AO236" s="23">
        <v>0</v>
      </c>
      <c r="AP236" s="23">
        <v>600</v>
      </c>
      <c r="AQ236" s="23">
        <v>0</v>
      </c>
      <c r="AR236" s="23">
        <v>49000</v>
      </c>
      <c r="AS236" s="23">
        <v>40000</v>
      </c>
      <c r="AT236" s="23">
        <v>0</v>
      </c>
      <c r="AU236" s="23">
        <v>0</v>
      </c>
      <c r="AV236" s="23">
        <v>0</v>
      </c>
      <c r="AW236" s="23">
        <v>0</v>
      </c>
      <c r="AX236" s="23">
        <v>0</v>
      </c>
      <c r="AY236" s="23">
        <v>0</v>
      </c>
      <c r="AZ236" s="23">
        <v>504608</v>
      </c>
      <c r="BA236" s="19">
        <f t="shared" si="661"/>
        <v>0</v>
      </c>
      <c r="BB236" s="19">
        <f t="shared" si="662"/>
        <v>0</v>
      </c>
      <c r="BC236" s="19">
        <v>0</v>
      </c>
      <c r="BD236" s="19">
        <v>0</v>
      </c>
      <c r="BE236" s="19">
        <v>0</v>
      </c>
      <c r="BF236" s="19">
        <f t="shared" si="663"/>
        <v>0</v>
      </c>
      <c r="BG236" s="19">
        <v>0</v>
      </c>
      <c r="BH236" s="19">
        <v>0</v>
      </c>
      <c r="BI236" s="19">
        <v>0</v>
      </c>
      <c r="BJ236" s="19">
        <v>0</v>
      </c>
      <c r="BK236" s="19">
        <f t="shared" si="587"/>
        <v>0</v>
      </c>
      <c r="BL236" s="19">
        <v>0</v>
      </c>
      <c r="BM236" s="19">
        <v>0</v>
      </c>
      <c r="BN236" s="19">
        <f t="shared" si="664"/>
        <v>0</v>
      </c>
      <c r="BO236" s="19">
        <v>0</v>
      </c>
      <c r="BP236" s="19">
        <v>0</v>
      </c>
      <c r="BQ236" s="19">
        <v>0</v>
      </c>
      <c r="BR236" s="19">
        <v>0</v>
      </c>
      <c r="BS236" s="19">
        <v>0</v>
      </c>
      <c r="BT236" s="19">
        <v>0</v>
      </c>
      <c r="BU236" s="19">
        <v>0</v>
      </c>
      <c r="BV236" s="19">
        <v>0</v>
      </c>
      <c r="BW236" s="19">
        <v>0</v>
      </c>
      <c r="BX236" s="19">
        <v>0</v>
      </c>
      <c r="BY236" s="19">
        <v>0</v>
      </c>
      <c r="BZ236" s="19">
        <f t="shared" si="665"/>
        <v>1397000</v>
      </c>
      <c r="CA236" s="19">
        <f t="shared" si="666"/>
        <v>1397000</v>
      </c>
      <c r="CB236" s="19">
        <f t="shared" si="588"/>
        <v>1397000</v>
      </c>
      <c r="CC236" s="24"/>
      <c r="CD236" s="23">
        <v>1397000</v>
      </c>
      <c r="CE236" s="19">
        <f t="shared" si="667"/>
        <v>0</v>
      </c>
      <c r="CF236" s="19">
        <v>0</v>
      </c>
      <c r="CG236" s="19">
        <v>0</v>
      </c>
      <c r="CH236" s="19">
        <v>0</v>
      </c>
      <c r="CI236" s="19">
        <v>0</v>
      </c>
      <c r="CJ236" s="19">
        <v>0</v>
      </c>
      <c r="CK236" s="19">
        <f t="shared" si="668"/>
        <v>0</v>
      </c>
      <c r="CL236" s="51"/>
      <c r="CM236" s="19">
        <v>0</v>
      </c>
      <c r="CN236" s="19">
        <v>0</v>
      </c>
      <c r="CO236" s="19">
        <v>0</v>
      </c>
      <c r="CP236" s="75"/>
      <c r="CQ236" s="75"/>
      <c r="CR236" s="75"/>
      <c r="CS236" s="19">
        <f t="shared" si="589"/>
        <v>0</v>
      </c>
      <c r="CT236" s="19">
        <f t="shared" si="590"/>
        <v>0</v>
      </c>
      <c r="CU236" s="19">
        <v>0</v>
      </c>
      <c r="CV236" s="20">
        <v>0</v>
      </c>
    </row>
    <row r="237" spans="1:101" s="52" customFormat="1" ht="15.6" x14ac:dyDescent="0.3">
      <c r="A237" s="105" t="s">
        <v>1</v>
      </c>
      <c r="B237" s="21" t="s">
        <v>58</v>
      </c>
      <c r="C237" s="22" t="s">
        <v>509</v>
      </c>
      <c r="D237" s="19">
        <f t="shared" si="656"/>
        <v>8856534</v>
      </c>
      <c r="E237" s="19">
        <f t="shared" si="657"/>
        <v>8466112</v>
      </c>
      <c r="F237" s="19">
        <f t="shared" si="658"/>
        <v>8466112</v>
      </c>
      <c r="G237" s="23">
        <f>3818076+50520</f>
        <v>3868596</v>
      </c>
      <c r="H237" s="23">
        <f>954521+12630</f>
        <v>967151</v>
      </c>
      <c r="I237" s="19">
        <f t="shared" si="584"/>
        <v>2179583</v>
      </c>
      <c r="J237" s="23">
        <v>947073</v>
      </c>
      <c r="K237" s="23">
        <v>26400</v>
      </c>
      <c r="L237" s="23">
        <v>46000</v>
      </c>
      <c r="M237" s="23">
        <v>0</v>
      </c>
      <c r="N237" s="23">
        <v>336808</v>
      </c>
      <c r="O237" s="23">
        <v>823302</v>
      </c>
      <c r="P237" s="19">
        <f t="shared" si="585"/>
        <v>35800</v>
      </c>
      <c r="Q237" s="23">
        <v>33800</v>
      </c>
      <c r="R237" s="23">
        <v>2000</v>
      </c>
      <c r="S237" s="23">
        <v>0</v>
      </c>
      <c r="T237" s="23">
        <v>44200</v>
      </c>
      <c r="U237" s="19">
        <f t="shared" si="659"/>
        <v>270281</v>
      </c>
      <c r="V237" s="23">
        <v>51900</v>
      </c>
      <c r="W237" s="23">
        <f>108107+30000</f>
        <v>138107</v>
      </c>
      <c r="X237" s="23">
        <f>0+1598</f>
        <v>1598</v>
      </c>
      <c r="Y237" s="23">
        <v>54211</v>
      </c>
      <c r="Z237" s="23">
        <v>20364</v>
      </c>
      <c r="AA237" s="23">
        <v>0</v>
      </c>
      <c r="AB237" s="23">
        <v>0</v>
      </c>
      <c r="AC237" s="23">
        <v>4101</v>
      </c>
      <c r="AD237" s="23"/>
      <c r="AE237" s="19">
        <f t="shared" si="660"/>
        <v>1100501</v>
      </c>
      <c r="AF237" s="24">
        <v>0</v>
      </c>
      <c r="AG237" s="24">
        <v>0</v>
      </c>
      <c r="AH237" s="23">
        <v>175649</v>
      </c>
      <c r="AI237" s="23">
        <v>465074</v>
      </c>
      <c r="AJ237" s="23">
        <v>0</v>
      </c>
      <c r="AK237" s="23">
        <v>27473</v>
      </c>
      <c r="AL237" s="23">
        <v>0</v>
      </c>
      <c r="AM237" s="23">
        <v>2400</v>
      </c>
      <c r="AN237" s="23">
        <v>18400</v>
      </c>
      <c r="AO237" s="23">
        <v>0</v>
      </c>
      <c r="AP237" s="23">
        <v>0</v>
      </c>
      <c r="AQ237" s="23">
        <v>0</v>
      </c>
      <c r="AR237" s="23">
        <v>0</v>
      </c>
      <c r="AS237" s="23">
        <v>227623</v>
      </c>
      <c r="AT237" s="23">
        <v>0</v>
      </c>
      <c r="AU237" s="23">
        <v>0</v>
      </c>
      <c r="AV237" s="23">
        <v>0</v>
      </c>
      <c r="AW237" s="23">
        <v>0</v>
      </c>
      <c r="AX237" s="23">
        <v>0</v>
      </c>
      <c r="AY237" s="23">
        <v>0</v>
      </c>
      <c r="AZ237" s="23">
        <v>183882</v>
      </c>
      <c r="BA237" s="19">
        <f t="shared" si="661"/>
        <v>0</v>
      </c>
      <c r="BB237" s="19">
        <f t="shared" si="662"/>
        <v>0</v>
      </c>
      <c r="BC237" s="19">
        <v>0</v>
      </c>
      <c r="BD237" s="19">
        <v>0</v>
      </c>
      <c r="BE237" s="19">
        <v>0</v>
      </c>
      <c r="BF237" s="19">
        <f t="shared" si="663"/>
        <v>0</v>
      </c>
      <c r="BG237" s="19">
        <v>0</v>
      </c>
      <c r="BH237" s="19">
        <v>0</v>
      </c>
      <c r="BI237" s="19">
        <v>0</v>
      </c>
      <c r="BJ237" s="19">
        <v>0</v>
      </c>
      <c r="BK237" s="19">
        <f t="shared" si="587"/>
        <v>0</v>
      </c>
      <c r="BL237" s="19">
        <v>0</v>
      </c>
      <c r="BM237" s="19">
        <v>0</v>
      </c>
      <c r="BN237" s="19">
        <f t="shared" si="664"/>
        <v>0</v>
      </c>
      <c r="BO237" s="19">
        <v>0</v>
      </c>
      <c r="BP237" s="19">
        <v>0</v>
      </c>
      <c r="BQ237" s="19">
        <v>0</v>
      </c>
      <c r="BR237" s="19">
        <v>0</v>
      </c>
      <c r="BS237" s="19">
        <v>0</v>
      </c>
      <c r="BT237" s="19">
        <v>0</v>
      </c>
      <c r="BU237" s="19">
        <v>0</v>
      </c>
      <c r="BV237" s="19">
        <v>0</v>
      </c>
      <c r="BW237" s="19">
        <v>0</v>
      </c>
      <c r="BX237" s="19">
        <v>0</v>
      </c>
      <c r="BY237" s="19">
        <v>0</v>
      </c>
      <c r="BZ237" s="19">
        <f t="shared" si="665"/>
        <v>390422</v>
      </c>
      <c r="CA237" s="19">
        <f t="shared" si="666"/>
        <v>390422</v>
      </c>
      <c r="CB237" s="19">
        <f t="shared" si="588"/>
        <v>390422</v>
      </c>
      <c r="CC237" s="24"/>
      <c r="CD237" s="23">
        <v>390422</v>
      </c>
      <c r="CE237" s="19">
        <f t="shared" si="667"/>
        <v>0</v>
      </c>
      <c r="CF237" s="19">
        <v>0</v>
      </c>
      <c r="CG237" s="19">
        <v>0</v>
      </c>
      <c r="CH237" s="19">
        <v>0</v>
      </c>
      <c r="CI237" s="19">
        <v>0</v>
      </c>
      <c r="CJ237" s="19">
        <v>0</v>
      </c>
      <c r="CK237" s="19">
        <f t="shared" si="668"/>
        <v>0</v>
      </c>
      <c r="CL237" s="51">
        <v>0</v>
      </c>
      <c r="CM237" s="19">
        <v>0</v>
      </c>
      <c r="CN237" s="19">
        <v>0</v>
      </c>
      <c r="CO237" s="19">
        <v>0</v>
      </c>
      <c r="CP237" s="75"/>
      <c r="CQ237" s="75"/>
      <c r="CR237" s="75"/>
      <c r="CS237" s="19">
        <f t="shared" si="589"/>
        <v>0</v>
      </c>
      <c r="CT237" s="19">
        <f t="shared" si="590"/>
        <v>0</v>
      </c>
      <c r="CU237" s="19">
        <v>0</v>
      </c>
      <c r="CV237" s="20">
        <v>0</v>
      </c>
    </row>
    <row r="238" spans="1:101" s="52" customFormat="1" ht="31.2" x14ac:dyDescent="0.3">
      <c r="A238" s="105" t="s">
        <v>1</v>
      </c>
      <c r="B238" s="21" t="s">
        <v>60</v>
      </c>
      <c r="C238" s="22" t="s">
        <v>510</v>
      </c>
      <c r="D238" s="19">
        <f t="shared" si="656"/>
        <v>8124357</v>
      </c>
      <c r="E238" s="19">
        <f t="shared" si="657"/>
        <v>8124357</v>
      </c>
      <c r="F238" s="19">
        <f t="shared" si="658"/>
        <v>7921613</v>
      </c>
      <c r="G238" s="23">
        <f>2799022+200905</f>
        <v>2999927</v>
      </c>
      <c r="H238" s="23">
        <f>698604+50276</f>
        <v>748880</v>
      </c>
      <c r="I238" s="19">
        <f t="shared" si="584"/>
        <v>1706806</v>
      </c>
      <c r="J238" s="23">
        <v>0</v>
      </c>
      <c r="K238" s="23">
        <v>0</v>
      </c>
      <c r="L238" s="23">
        <f>794318+146830</f>
        <v>941148</v>
      </c>
      <c r="M238" s="23">
        <v>0</v>
      </c>
      <c r="N238" s="23">
        <v>482947</v>
      </c>
      <c r="O238" s="23">
        <v>282711</v>
      </c>
      <c r="P238" s="19">
        <f t="shared" si="585"/>
        <v>19187</v>
      </c>
      <c r="Q238" s="23">
        <v>19187</v>
      </c>
      <c r="R238" s="23">
        <v>0</v>
      </c>
      <c r="S238" s="23">
        <v>0</v>
      </c>
      <c r="T238" s="23">
        <f>44108+23070</f>
        <v>67178</v>
      </c>
      <c r="U238" s="19">
        <f t="shared" si="659"/>
        <v>1734379</v>
      </c>
      <c r="V238" s="23">
        <f>115241+28100</f>
        <v>143341</v>
      </c>
      <c r="W238" s="23">
        <f>785690+154143</f>
        <v>939833</v>
      </c>
      <c r="X238" s="23">
        <f>291189+78934</f>
        <v>370123</v>
      </c>
      <c r="Y238" s="23">
        <f>142178+42200</f>
        <v>184378</v>
      </c>
      <c r="Z238" s="23">
        <f>40704+56000</f>
        <v>96704</v>
      </c>
      <c r="AA238" s="23">
        <v>0</v>
      </c>
      <c r="AB238" s="23">
        <v>0</v>
      </c>
      <c r="AC238" s="23">
        <v>0</v>
      </c>
      <c r="AD238" s="23"/>
      <c r="AE238" s="19">
        <f t="shared" si="660"/>
        <v>645256</v>
      </c>
      <c r="AF238" s="24">
        <v>0</v>
      </c>
      <c r="AG238" s="24">
        <v>0</v>
      </c>
      <c r="AH238" s="51">
        <v>57629</v>
      </c>
      <c r="AI238" s="51">
        <v>101738</v>
      </c>
      <c r="AJ238" s="51">
        <v>0</v>
      </c>
      <c r="AK238" s="51">
        <v>25890</v>
      </c>
      <c r="AL238" s="51">
        <v>0</v>
      </c>
      <c r="AM238" s="51">
        <v>0</v>
      </c>
      <c r="AN238" s="51">
        <v>40742</v>
      </c>
      <c r="AO238" s="51">
        <v>0</v>
      </c>
      <c r="AP238" s="51">
        <v>0</v>
      </c>
      <c r="AQ238" s="51">
        <v>0</v>
      </c>
      <c r="AR238" s="51">
        <v>0</v>
      </c>
      <c r="AS238" s="51">
        <v>0</v>
      </c>
      <c r="AT238" s="51">
        <v>0</v>
      </c>
      <c r="AU238" s="51">
        <v>0</v>
      </c>
      <c r="AV238" s="51">
        <v>0</v>
      </c>
      <c r="AW238" s="51">
        <v>0</v>
      </c>
      <c r="AX238" s="51">
        <v>0</v>
      </c>
      <c r="AY238" s="51">
        <v>0</v>
      </c>
      <c r="AZ238" s="51">
        <f>248366+170891</f>
        <v>419257</v>
      </c>
      <c r="BA238" s="19">
        <f t="shared" si="661"/>
        <v>202744</v>
      </c>
      <c r="BB238" s="19">
        <f t="shared" si="662"/>
        <v>0</v>
      </c>
      <c r="BC238" s="19">
        <v>0</v>
      </c>
      <c r="BD238" s="19">
        <v>0</v>
      </c>
      <c r="BE238" s="19">
        <v>0</v>
      </c>
      <c r="BF238" s="19">
        <f t="shared" si="663"/>
        <v>0</v>
      </c>
      <c r="BG238" s="19">
        <v>0</v>
      </c>
      <c r="BH238" s="19">
        <v>0</v>
      </c>
      <c r="BI238" s="19">
        <v>0</v>
      </c>
      <c r="BJ238" s="19">
        <v>0</v>
      </c>
      <c r="BK238" s="19">
        <f t="shared" si="587"/>
        <v>0</v>
      </c>
      <c r="BL238" s="19">
        <v>0</v>
      </c>
      <c r="BM238" s="19">
        <v>0</v>
      </c>
      <c r="BN238" s="19">
        <f t="shared" si="664"/>
        <v>202744</v>
      </c>
      <c r="BO238" s="19">
        <v>0</v>
      </c>
      <c r="BP238" s="19">
        <v>0</v>
      </c>
      <c r="BQ238" s="19">
        <v>0</v>
      </c>
      <c r="BR238" s="19">
        <v>0</v>
      </c>
      <c r="BS238" s="19">
        <v>0</v>
      </c>
      <c r="BT238" s="19">
        <v>0</v>
      </c>
      <c r="BU238" s="19">
        <v>0</v>
      </c>
      <c r="BV238" s="19">
        <v>0</v>
      </c>
      <c r="BW238" s="19">
        <v>0</v>
      </c>
      <c r="BX238" s="19">
        <v>0</v>
      </c>
      <c r="BY238" s="19">
        <v>202744</v>
      </c>
      <c r="BZ238" s="19">
        <f t="shared" si="665"/>
        <v>0</v>
      </c>
      <c r="CA238" s="19">
        <f t="shared" si="666"/>
        <v>0</v>
      </c>
      <c r="CB238" s="19">
        <f t="shared" si="588"/>
        <v>0</v>
      </c>
      <c r="CC238" s="23">
        <v>0</v>
      </c>
      <c r="CD238" s="23">
        <v>0</v>
      </c>
      <c r="CE238" s="19">
        <f t="shared" si="667"/>
        <v>0</v>
      </c>
      <c r="CF238" s="23">
        <v>0</v>
      </c>
      <c r="CG238" s="23">
        <v>0</v>
      </c>
      <c r="CH238" s="23">
        <v>0</v>
      </c>
      <c r="CI238" s="23">
        <v>0</v>
      </c>
      <c r="CJ238" s="23">
        <v>0</v>
      </c>
      <c r="CK238" s="19">
        <f t="shared" si="668"/>
        <v>0</v>
      </c>
      <c r="CL238" s="23"/>
      <c r="CM238" s="23"/>
      <c r="CN238" s="23">
        <v>0</v>
      </c>
      <c r="CO238" s="19">
        <v>0</v>
      </c>
      <c r="CP238" s="75"/>
      <c r="CQ238" s="75"/>
      <c r="CR238" s="75"/>
      <c r="CS238" s="19">
        <f t="shared" si="589"/>
        <v>0</v>
      </c>
      <c r="CT238" s="19">
        <f t="shared" si="590"/>
        <v>0</v>
      </c>
      <c r="CU238" s="19">
        <v>0</v>
      </c>
      <c r="CV238" s="20">
        <v>0</v>
      </c>
    </row>
    <row r="239" spans="1:101" s="52" customFormat="1" ht="31.2" x14ac:dyDescent="0.3">
      <c r="A239" s="105" t="s">
        <v>1</v>
      </c>
      <c r="B239" s="21" t="s">
        <v>62</v>
      </c>
      <c r="C239" s="22" t="s">
        <v>512</v>
      </c>
      <c r="D239" s="19">
        <f t="shared" si="656"/>
        <v>547674</v>
      </c>
      <c r="E239" s="19">
        <f t="shared" si="657"/>
        <v>547674</v>
      </c>
      <c r="F239" s="19">
        <f t="shared" si="658"/>
        <v>547674</v>
      </c>
      <c r="G239" s="23">
        <v>0</v>
      </c>
      <c r="H239" s="23">
        <v>0</v>
      </c>
      <c r="I239" s="19">
        <f t="shared" si="584"/>
        <v>3478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3478</v>
      </c>
      <c r="P239" s="19">
        <f t="shared" si="585"/>
        <v>0</v>
      </c>
      <c r="Q239" s="23">
        <v>0</v>
      </c>
      <c r="R239" s="23">
        <v>0</v>
      </c>
      <c r="S239" s="23">
        <v>0</v>
      </c>
      <c r="T239" s="23">
        <v>0</v>
      </c>
      <c r="U239" s="19">
        <f t="shared" si="659"/>
        <v>0</v>
      </c>
      <c r="V239" s="23">
        <v>0</v>
      </c>
      <c r="W239" s="23">
        <v>0</v>
      </c>
      <c r="X239" s="23">
        <v>0</v>
      </c>
      <c r="Y239" s="23">
        <v>0</v>
      </c>
      <c r="Z239" s="23">
        <v>0</v>
      </c>
      <c r="AA239" s="23">
        <v>0</v>
      </c>
      <c r="AB239" s="23">
        <v>0</v>
      </c>
      <c r="AC239" s="23">
        <v>0</v>
      </c>
      <c r="AD239" s="23"/>
      <c r="AE239" s="19">
        <f t="shared" si="660"/>
        <v>544196</v>
      </c>
      <c r="AF239" s="24">
        <v>0</v>
      </c>
      <c r="AG239" s="24">
        <v>0</v>
      </c>
      <c r="AH239" s="51">
        <v>0</v>
      </c>
      <c r="AI239" s="51">
        <v>0</v>
      </c>
      <c r="AJ239" s="51">
        <v>0</v>
      </c>
      <c r="AK239" s="51">
        <v>0</v>
      </c>
      <c r="AL239" s="51">
        <v>0</v>
      </c>
      <c r="AM239" s="51">
        <v>1500</v>
      </c>
      <c r="AN239" s="51">
        <v>542566</v>
      </c>
      <c r="AO239" s="51">
        <v>0</v>
      </c>
      <c r="AP239" s="51">
        <v>0</v>
      </c>
      <c r="AQ239" s="51">
        <v>0</v>
      </c>
      <c r="AR239" s="51">
        <v>0</v>
      </c>
      <c r="AS239" s="51">
        <v>130</v>
      </c>
      <c r="AT239" s="51">
        <v>0</v>
      </c>
      <c r="AU239" s="51">
        <v>0</v>
      </c>
      <c r="AV239" s="51">
        <v>0</v>
      </c>
      <c r="AW239" s="51">
        <v>0</v>
      </c>
      <c r="AX239" s="51">
        <v>0</v>
      </c>
      <c r="AY239" s="51">
        <v>0</v>
      </c>
      <c r="AZ239" s="51">
        <v>0</v>
      </c>
      <c r="BA239" s="19">
        <f t="shared" si="661"/>
        <v>0</v>
      </c>
      <c r="BB239" s="19">
        <f t="shared" si="662"/>
        <v>0</v>
      </c>
      <c r="BC239" s="19">
        <v>0</v>
      </c>
      <c r="BD239" s="19">
        <v>0</v>
      </c>
      <c r="BE239" s="19">
        <v>0</v>
      </c>
      <c r="BF239" s="19">
        <f t="shared" si="663"/>
        <v>0</v>
      </c>
      <c r="BG239" s="19">
        <v>0</v>
      </c>
      <c r="BH239" s="19">
        <v>0</v>
      </c>
      <c r="BI239" s="19">
        <v>0</v>
      </c>
      <c r="BJ239" s="19">
        <v>0</v>
      </c>
      <c r="BK239" s="19">
        <f t="shared" si="587"/>
        <v>0</v>
      </c>
      <c r="BL239" s="19">
        <v>0</v>
      </c>
      <c r="BM239" s="19">
        <v>0</v>
      </c>
      <c r="BN239" s="19">
        <f t="shared" si="664"/>
        <v>0</v>
      </c>
      <c r="BO239" s="19">
        <v>0</v>
      </c>
      <c r="BP239" s="19">
        <v>0</v>
      </c>
      <c r="BQ239" s="19">
        <v>0</v>
      </c>
      <c r="BR239" s="19">
        <v>0</v>
      </c>
      <c r="BS239" s="19">
        <v>0</v>
      </c>
      <c r="BT239" s="19">
        <v>0</v>
      </c>
      <c r="BU239" s="19">
        <v>0</v>
      </c>
      <c r="BV239" s="19">
        <v>0</v>
      </c>
      <c r="BW239" s="19">
        <v>0</v>
      </c>
      <c r="BX239" s="19">
        <v>0</v>
      </c>
      <c r="BY239" s="19">
        <v>0</v>
      </c>
      <c r="BZ239" s="19">
        <f t="shared" si="665"/>
        <v>0</v>
      </c>
      <c r="CA239" s="19">
        <f t="shared" si="666"/>
        <v>0</v>
      </c>
      <c r="CB239" s="19">
        <f t="shared" si="588"/>
        <v>0</v>
      </c>
      <c r="CC239" s="23">
        <v>0</v>
      </c>
      <c r="CD239" s="23">
        <v>0</v>
      </c>
      <c r="CE239" s="19">
        <f t="shared" si="667"/>
        <v>0</v>
      </c>
      <c r="CF239" s="23">
        <v>0</v>
      </c>
      <c r="CG239" s="23">
        <v>0</v>
      </c>
      <c r="CH239" s="23">
        <v>0</v>
      </c>
      <c r="CI239" s="23">
        <v>0</v>
      </c>
      <c r="CJ239" s="23">
        <v>0</v>
      </c>
      <c r="CK239" s="19">
        <f t="shared" si="668"/>
        <v>0</v>
      </c>
      <c r="CL239" s="23"/>
      <c r="CM239" s="23"/>
      <c r="CN239" s="23">
        <v>0</v>
      </c>
      <c r="CO239" s="19">
        <v>0</v>
      </c>
      <c r="CP239" s="75"/>
      <c r="CQ239" s="75"/>
      <c r="CR239" s="75"/>
      <c r="CS239" s="19">
        <f t="shared" si="589"/>
        <v>0</v>
      </c>
      <c r="CT239" s="19">
        <f t="shared" si="590"/>
        <v>0</v>
      </c>
      <c r="CU239" s="19">
        <v>0</v>
      </c>
      <c r="CV239" s="20">
        <v>0</v>
      </c>
    </row>
    <row r="240" spans="1:101" s="52" customFormat="1" ht="15.6" x14ac:dyDescent="0.3">
      <c r="A240" s="105" t="s">
        <v>1</v>
      </c>
      <c r="B240" s="21" t="s">
        <v>126</v>
      </c>
      <c r="C240" s="22" t="s">
        <v>511</v>
      </c>
      <c r="D240" s="19">
        <f t="shared" si="656"/>
        <v>53486261</v>
      </c>
      <c r="E240" s="19">
        <f t="shared" si="657"/>
        <v>50642967</v>
      </c>
      <c r="F240" s="19">
        <f t="shared" si="658"/>
        <v>50617359</v>
      </c>
      <c r="G240" s="23">
        <v>34515800</v>
      </c>
      <c r="H240" s="23">
        <f>2871528+155769</f>
        <v>3027297</v>
      </c>
      <c r="I240" s="19">
        <f t="shared" si="584"/>
        <v>8329943</v>
      </c>
      <c r="J240" s="23">
        <v>29809</v>
      </c>
      <c r="K240" s="23">
        <v>1020096</v>
      </c>
      <c r="L240" s="23">
        <v>0</v>
      </c>
      <c r="M240" s="23">
        <v>0</v>
      </c>
      <c r="N240" s="23">
        <v>3260344</v>
      </c>
      <c r="O240" s="23">
        <v>4019694</v>
      </c>
      <c r="P240" s="19">
        <f t="shared" si="585"/>
        <v>83148</v>
      </c>
      <c r="Q240" s="23">
        <v>16148</v>
      </c>
      <c r="R240" s="23">
        <v>67000</v>
      </c>
      <c r="S240" s="23">
        <v>0</v>
      </c>
      <c r="T240" s="23">
        <f>366066+50000</f>
        <v>416066</v>
      </c>
      <c r="U240" s="19">
        <f t="shared" si="659"/>
        <v>667954</v>
      </c>
      <c r="V240" s="23">
        <f>124338+45000</f>
        <v>169338</v>
      </c>
      <c r="W240" s="23">
        <f>179103+266</f>
        <v>179369</v>
      </c>
      <c r="X240" s="23">
        <v>136247</v>
      </c>
      <c r="Y240" s="23">
        <v>113154</v>
      </c>
      <c r="Z240" s="23">
        <f>34129+5000</f>
        <v>39129</v>
      </c>
      <c r="AA240" s="23">
        <v>17642</v>
      </c>
      <c r="AB240" s="23">
        <v>0</v>
      </c>
      <c r="AC240" s="23">
        <f>8875+4200</f>
        <v>13075</v>
      </c>
      <c r="AD240" s="23"/>
      <c r="AE240" s="19">
        <f t="shared" si="660"/>
        <v>3577151</v>
      </c>
      <c r="AF240" s="24">
        <v>0</v>
      </c>
      <c r="AG240" s="24">
        <v>0</v>
      </c>
      <c r="AH240" s="51">
        <v>188450</v>
      </c>
      <c r="AI240" s="51">
        <v>815411</v>
      </c>
      <c r="AJ240" s="51">
        <v>14000</v>
      </c>
      <c r="AK240" s="51">
        <v>33586</v>
      </c>
      <c r="AL240" s="51">
        <v>0</v>
      </c>
      <c r="AM240" s="51">
        <v>24597</v>
      </c>
      <c r="AN240" s="51">
        <v>6949</v>
      </c>
      <c r="AO240" s="51">
        <v>0</v>
      </c>
      <c r="AP240" s="51">
        <v>0</v>
      </c>
      <c r="AQ240" s="51">
        <v>392843</v>
      </c>
      <c r="AR240" s="51">
        <v>0</v>
      </c>
      <c r="AS240" s="51">
        <v>120942</v>
      </c>
      <c r="AT240" s="51">
        <v>0</v>
      </c>
      <c r="AU240" s="51">
        <v>0</v>
      </c>
      <c r="AV240" s="51">
        <v>0</v>
      </c>
      <c r="AW240" s="51">
        <v>1226780</v>
      </c>
      <c r="AX240" s="51">
        <v>240000</v>
      </c>
      <c r="AY240" s="51">
        <v>0</v>
      </c>
      <c r="AZ240" s="51">
        <v>513593</v>
      </c>
      <c r="BA240" s="19">
        <f t="shared" si="661"/>
        <v>25608</v>
      </c>
      <c r="BB240" s="19">
        <f t="shared" si="662"/>
        <v>0</v>
      </c>
      <c r="BC240" s="19">
        <v>0</v>
      </c>
      <c r="BD240" s="19">
        <v>0</v>
      </c>
      <c r="BE240" s="19">
        <v>0</v>
      </c>
      <c r="BF240" s="19">
        <f t="shared" si="663"/>
        <v>0</v>
      </c>
      <c r="BG240" s="19">
        <v>0</v>
      </c>
      <c r="BH240" s="19">
        <v>0</v>
      </c>
      <c r="BI240" s="19">
        <v>0</v>
      </c>
      <c r="BJ240" s="19">
        <v>0</v>
      </c>
      <c r="BK240" s="19">
        <f t="shared" si="587"/>
        <v>0</v>
      </c>
      <c r="BL240" s="19">
        <v>0</v>
      </c>
      <c r="BM240" s="19">
        <v>0</v>
      </c>
      <c r="BN240" s="19">
        <f t="shared" si="664"/>
        <v>25608</v>
      </c>
      <c r="BO240" s="19">
        <v>0</v>
      </c>
      <c r="BP240" s="19">
        <v>0</v>
      </c>
      <c r="BQ240" s="19">
        <v>0</v>
      </c>
      <c r="BR240" s="19">
        <v>0</v>
      </c>
      <c r="BS240" s="19">
        <v>0</v>
      </c>
      <c r="BT240" s="19">
        <v>0</v>
      </c>
      <c r="BU240" s="19">
        <v>0</v>
      </c>
      <c r="BV240" s="19">
        <v>0</v>
      </c>
      <c r="BW240" s="19">
        <v>0</v>
      </c>
      <c r="BX240" s="19">
        <v>25608</v>
      </c>
      <c r="BY240" s="19">
        <v>0</v>
      </c>
      <c r="BZ240" s="19">
        <f t="shared" si="665"/>
        <v>2843294</v>
      </c>
      <c r="CA240" s="19">
        <f t="shared" si="666"/>
        <v>2843294</v>
      </c>
      <c r="CB240" s="19">
        <f t="shared" si="588"/>
        <v>2017273</v>
      </c>
      <c r="CC240" s="23">
        <v>0</v>
      </c>
      <c r="CD240" s="23">
        <v>2017273</v>
      </c>
      <c r="CE240" s="19">
        <f t="shared" si="667"/>
        <v>0</v>
      </c>
      <c r="CF240" s="23">
        <v>0</v>
      </c>
      <c r="CG240" s="23">
        <v>0</v>
      </c>
      <c r="CH240" s="23"/>
      <c r="CI240" s="23"/>
      <c r="CJ240" s="23"/>
      <c r="CK240" s="19">
        <f t="shared" si="668"/>
        <v>826021</v>
      </c>
      <c r="CL240" s="23"/>
      <c r="CM240" s="23">
        <v>826021</v>
      </c>
      <c r="CN240" s="23">
        <v>0</v>
      </c>
      <c r="CO240" s="19">
        <v>0</v>
      </c>
      <c r="CP240" s="75"/>
      <c r="CQ240" s="75"/>
      <c r="CR240" s="75"/>
      <c r="CS240" s="19">
        <f t="shared" si="589"/>
        <v>0</v>
      </c>
      <c r="CT240" s="19">
        <f t="shared" si="590"/>
        <v>0</v>
      </c>
      <c r="CU240" s="19">
        <v>0</v>
      </c>
      <c r="CV240" s="20">
        <v>0</v>
      </c>
    </row>
    <row r="241" spans="1:101" ht="31.2" x14ac:dyDescent="0.3">
      <c r="A241" s="105" t="s">
        <v>1</v>
      </c>
      <c r="B241" s="21" t="s">
        <v>66</v>
      </c>
      <c r="C241" s="22" t="s">
        <v>513</v>
      </c>
      <c r="D241" s="19">
        <f t="shared" si="656"/>
        <v>289215</v>
      </c>
      <c r="E241" s="19">
        <f t="shared" si="657"/>
        <v>259215</v>
      </c>
      <c r="F241" s="19">
        <f t="shared" si="658"/>
        <v>259215</v>
      </c>
      <c r="G241" s="23">
        <f>80000+22572</f>
        <v>102572</v>
      </c>
      <c r="H241" s="23">
        <f>20000+5643</f>
        <v>25643</v>
      </c>
      <c r="I241" s="19">
        <f>SUM(J241:O241)</f>
        <v>62702</v>
      </c>
      <c r="J241" s="23">
        <v>0</v>
      </c>
      <c r="K241" s="23">
        <v>0</v>
      </c>
      <c r="L241" s="23">
        <v>0</v>
      </c>
      <c r="M241" s="23">
        <v>0</v>
      </c>
      <c r="N241" s="23">
        <v>5000</v>
      </c>
      <c r="O241" s="23">
        <v>57702</v>
      </c>
      <c r="P241" s="19">
        <f>SUM(Q241:R241)</f>
        <v>0</v>
      </c>
      <c r="Q241" s="23">
        <v>0</v>
      </c>
      <c r="R241" s="23">
        <v>0</v>
      </c>
      <c r="S241" s="23">
        <v>0</v>
      </c>
      <c r="T241" s="23">
        <v>0</v>
      </c>
      <c r="U241" s="19">
        <f t="shared" si="659"/>
        <v>18000</v>
      </c>
      <c r="V241" s="23">
        <v>0</v>
      </c>
      <c r="W241" s="23">
        <v>0</v>
      </c>
      <c r="X241" s="23">
        <v>0</v>
      </c>
      <c r="Y241" s="23">
        <v>0</v>
      </c>
      <c r="Z241" s="23">
        <v>0</v>
      </c>
      <c r="AA241" s="23">
        <f>7000+11000</f>
        <v>18000</v>
      </c>
      <c r="AB241" s="23">
        <v>0</v>
      </c>
      <c r="AC241" s="23">
        <v>0</v>
      </c>
      <c r="AD241" s="23"/>
      <c r="AE241" s="19">
        <f t="shared" si="660"/>
        <v>50298</v>
      </c>
      <c r="AF241" s="23"/>
      <c r="AG241" s="24">
        <v>0</v>
      </c>
      <c r="AH241" s="51">
        <v>5000</v>
      </c>
      <c r="AI241" s="51">
        <v>0</v>
      </c>
      <c r="AJ241" s="51">
        <v>0</v>
      </c>
      <c r="AK241" s="51">
        <v>900</v>
      </c>
      <c r="AL241" s="51">
        <v>0</v>
      </c>
      <c r="AM241" s="51">
        <v>0</v>
      </c>
      <c r="AN241" s="51">
        <v>0</v>
      </c>
      <c r="AO241" s="51">
        <v>0</v>
      </c>
      <c r="AP241" s="51">
        <v>0</v>
      </c>
      <c r="AQ241" s="51">
        <v>0</v>
      </c>
      <c r="AR241" s="51">
        <v>0</v>
      </c>
      <c r="AS241" s="51">
        <v>6000</v>
      </c>
      <c r="AT241" s="51">
        <v>0</v>
      </c>
      <c r="AU241" s="51">
        <v>0</v>
      </c>
      <c r="AV241" s="51">
        <v>0</v>
      </c>
      <c r="AW241" s="51">
        <v>0</v>
      </c>
      <c r="AX241" s="51">
        <v>0</v>
      </c>
      <c r="AY241" s="51">
        <v>0</v>
      </c>
      <c r="AZ241" s="51">
        <v>38398</v>
      </c>
      <c r="BA241" s="19">
        <f t="shared" si="661"/>
        <v>0</v>
      </c>
      <c r="BB241" s="19">
        <f t="shared" si="662"/>
        <v>0</v>
      </c>
      <c r="BC241" s="19">
        <v>0</v>
      </c>
      <c r="BD241" s="19">
        <v>0</v>
      </c>
      <c r="BE241" s="19">
        <v>0</v>
      </c>
      <c r="BF241" s="19">
        <f t="shared" si="663"/>
        <v>0</v>
      </c>
      <c r="BG241" s="19">
        <v>0</v>
      </c>
      <c r="BH241" s="19">
        <v>0</v>
      </c>
      <c r="BI241" s="19">
        <v>0</v>
      </c>
      <c r="BJ241" s="19">
        <v>0</v>
      </c>
      <c r="BK241" s="19">
        <f>SUM(BL241)</f>
        <v>0</v>
      </c>
      <c r="BL241" s="19">
        <v>0</v>
      </c>
      <c r="BM241" s="19">
        <v>0</v>
      </c>
      <c r="BN241" s="19">
        <f t="shared" si="664"/>
        <v>0</v>
      </c>
      <c r="BO241" s="19">
        <v>0</v>
      </c>
      <c r="BP241" s="19">
        <v>0</v>
      </c>
      <c r="BQ241" s="19">
        <v>0</v>
      </c>
      <c r="BR241" s="19">
        <v>0</v>
      </c>
      <c r="BS241" s="19">
        <v>0</v>
      </c>
      <c r="BT241" s="19">
        <v>0</v>
      </c>
      <c r="BU241" s="19">
        <v>0</v>
      </c>
      <c r="BV241" s="19">
        <v>0</v>
      </c>
      <c r="BW241" s="19">
        <v>0</v>
      </c>
      <c r="BX241" s="19">
        <v>0</v>
      </c>
      <c r="BY241" s="19">
        <v>0</v>
      </c>
      <c r="BZ241" s="19">
        <f t="shared" si="665"/>
        <v>30000</v>
      </c>
      <c r="CA241" s="19">
        <f t="shared" si="666"/>
        <v>30000</v>
      </c>
      <c r="CB241" s="19">
        <f>SUM(CC241:CD241)</f>
        <v>30000</v>
      </c>
      <c r="CC241" s="23">
        <v>0</v>
      </c>
      <c r="CD241" s="23">
        <v>30000</v>
      </c>
      <c r="CE241" s="19">
        <f t="shared" si="667"/>
        <v>0</v>
      </c>
      <c r="CF241" s="23">
        <v>0</v>
      </c>
      <c r="CG241" s="23">
        <v>0</v>
      </c>
      <c r="CH241" s="23">
        <v>0</v>
      </c>
      <c r="CI241" s="23">
        <v>0</v>
      </c>
      <c r="CJ241" s="23">
        <v>0</v>
      </c>
      <c r="CK241" s="19">
        <f t="shared" si="668"/>
        <v>0</v>
      </c>
      <c r="CL241" s="23"/>
      <c r="CM241" s="23"/>
      <c r="CN241" s="23">
        <v>0</v>
      </c>
      <c r="CO241" s="19">
        <v>0</v>
      </c>
      <c r="CP241" s="75"/>
      <c r="CQ241" s="75"/>
      <c r="CR241" s="75"/>
      <c r="CS241" s="19">
        <f>SUM(CT241)</f>
        <v>0</v>
      </c>
      <c r="CT241" s="19">
        <f>SUM(CU241:CV241)</f>
        <v>0</v>
      </c>
      <c r="CU241" s="19">
        <v>0</v>
      </c>
      <c r="CV241" s="20">
        <v>0</v>
      </c>
      <c r="CW241" s="52"/>
    </row>
    <row r="242" spans="1:101" s="52" customFormat="1" ht="31.2" x14ac:dyDescent="0.3">
      <c r="A242" s="105" t="s">
        <v>1</v>
      </c>
      <c r="B242" s="21" t="s">
        <v>66</v>
      </c>
      <c r="C242" s="22" t="s">
        <v>514</v>
      </c>
      <c r="D242" s="19">
        <f t="shared" si="656"/>
        <v>24088760</v>
      </c>
      <c r="E242" s="19">
        <f t="shared" si="657"/>
        <v>22292056</v>
      </c>
      <c r="F242" s="19">
        <f t="shared" si="658"/>
        <v>22292056</v>
      </c>
      <c r="G242" s="23">
        <f>11501625+400000</f>
        <v>11901625</v>
      </c>
      <c r="H242" s="23">
        <f>2803286+200000</f>
        <v>3003286</v>
      </c>
      <c r="I242" s="19">
        <f t="shared" si="584"/>
        <v>3661174</v>
      </c>
      <c r="J242" s="23">
        <f>1213471+300000</f>
        <v>1513471</v>
      </c>
      <c r="K242" s="23">
        <v>50000</v>
      </c>
      <c r="L242" s="23">
        <v>5000</v>
      </c>
      <c r="M242" s="23">
        <v>0</v>
      </c>
      <c r="N242" s="23">
        <v>775119</v>
      </c>
      <c r="O242" s="23">
        <v>1317584</v>
      </c>
      <c r="P242" s="19">
        <f t="shared" si="585"/>
        <v>70963</v>
      </c>
      <c r="Q242" s="23">
        <v>400</v>
      </c>
      <c r="R242" s="23">
        <v>70563</v>
      </c>
      <c r="S242" s="23">
        <v>50000</v>
      </c>
      <c r="T242" s="23">
        <v>210227</v>
      </c>
      <c r="U242" s="19">
        <f t="shared" si="659"/>
        <v>341285</v>
      </c>
      <c r="V242" s="23">
        <v>30000</v>
      </c>
      <c r="W242" s="23">
        <f>96390+4000</f>
        <v>100390</v>
      </c>
      <c r="X242" s="23">
        <v>122843</v>
      </c>
      <c r="Y242" s="23">
        <f>15971+2000</f>
        <v>17971</v>
      </c>
      <c r="Z242" s="23">
        <v>30000</v>
      </c>
      <c r="AA242" s="23">
        <v>25000</v>
      </c>
      <c r="AB242" s="23">
        <v>0</v>
      </c>
      <c r="AC242" s="23">
        <f>13081+2000</f>
        <v>15081</v>
      </c>
      <c r="AD242" s="23"/>
      <c r="AE242" s="19">
        <f t="shared" si="660"/>
        <v>3053496</v>
      </c>
      <c r="AF242" s="24">
        <v>0</v>
      </c>
      <c r="AG242" s="24">
        <v>0</v>
      </c>
      <c r="AH242" s="51">
        <v>421204</v>
      </c>
      <c r="AI242" s="51">
        <v>1500487</v>
      </c>
      <c r="AJ242" s="51">
        <v>0</v>
      </c>
      <c r="AK242" s="51">
        <v>50000</v>
      </c>
      <c r="AL242" s="51">
        <v>0</v>
      </c>
      <c r="AM242" s="51">
        <v>71126</v>
      </c>
      <c r="AN242" s="51">
        <v>400000</v>
      </c>
      <c r="AO242" s="51">
        <v>0</v>
      </c>
      <c r="AP242" s="51">
        <v>10000</v>
      </c>
      <c r="AQ242" s="51">
        <v>0</v>
      </c>
      <c r="AR242" s="51">
        <v>150000</v>
      </c>
      <c r="AS242" s="51">
        <v>0</v>
      </c>
      <c r="AT242" s="51">
        <v>0</v>
      </c>
      <c r="AU242" s="51">
        <v>0</v>
      </c>
      <c r="AV242" s="51">
        <v>0</v>
      </c>
      <c r="AW242" s="51">
        <v>0</v>
      </c>
      <c r="AX242" s="51">
        <v>0</v>
      </c>
      <c r="AY242" s="51">
        <v>0</v>
      </c>
      <c r="AZ242" s="51">
        <v>450679</v>
      </c>
      <c r="BA242" s="19">
        <f t="shared" si="661"/>
        <v>0</v>
      </c>
      <c r="BB242" s="19">
        <f t="shared" si="662"/>
        <v>0</v>
      </c>
      <c r="BC242" s="19">
        <v>0</v>
      </c>
      <c r="BD242" s="19">
        <v>0</v>
      </c>
      <c r="BE242" s="19">
        <v>0</v>
      </c>
      <c r="BF242" s="19">
        <f t="shared" si="663"/>
        <v>0</v>
      </c>
      <c r="BG242" s="19">
        <v>0</v>
      </c>
      <c r="BH242" s="19">
        <v>0</v>
      </c>
      <c r="BI242" s="19">
        <v>0</v>
      </c>
      <c r="BJ242" s="19">
        <v>0</v>
      </c>
      <c r="BK242" s="19">
        <f t="shared" si="587"/>
        <v>0</v>
      </c>
      <c r="BL242" s="19">
        <v>0</v>
      </c>
      <c r="BM242" s="19">
        <v>0</v>
      </c>
      <c r="BN242" s="19">
        <f t="shared" si="664"/>
        <v>0</v>
      </c>
      <c r="BO242" s="19">
        <v>0</v>
      </c>
      <c r="BP242" s="19">
        <v>0</v>
      </c>
      <c r="BQ242" s="19">
        <v>0</v>
      </c>
      <c r="BR242" s="19">
        <v>0</v>
      </c>
      <c r="BS242" s="19">
        <v>0</v>
      </c>
      <c r="BT242" s="19">
        <v>0</v>
      </c>
      <c r="BU242" s="19">
        <v>0</v>
      </c>
      <c r="BV242" s="19">
        <v>0</v>
      </c>
      <c r="BW242" s="19">
        <v>0</v>
      </c>
      <c r="BX242" s="19">
        <v>0</v>
      </c>
      <c r="BY242" s="19">
        <v>0</v>
      </c>
      <c r="BZ242" s="19">
        <f t="shared" si="665"/>
        <v>1796704</v>
      </c>
      <c r="CA242" s="19">
        <f t="shared" si="666"/>
        <v>1796704</v>
      </c>
      <c r="CB242" s="19">
        <f t="shared" si="588"/>
        <v>1496704</v>
      </c>
      <c r="CC242" s="23">
        <v>0</v>
      </c>
      <c r="CD242" s="23">
        <v>1496704</v>
      </c>
      <c r="CE242" s="19">
        <f t="shared" si="667"/>
        <v>0</v>
      </c>
      <c r="CF242" s="23">
        <v>0</v>
      </c>
      <c r="CG242" s="23">
        <v>0</v>
      </c>
      <c r="CH242" s="23">
        <v>0</v>
      </c>
      <c r="CI242" s="23">
        <v>0</v>
      </c>
      <c r="CJ242" s="23">
        <v>0</v>
      </c>
      <c r="CK242" s="19">
        <f t="shared" si="668"/>
        <v>300000</v>
      </c>
      <c r="CL242" s="23">
        <v>300000</v>
      </c>
      <c r="CM242" s="23"/>
      <c r="CN242" s="23">
        <v>0</v>
      </c>
      <c r="CO242" s="19">
        <v>0</v>
      </c>
      <c r="CP242" s="75"/>
      <c r="CQ242" s="75"/>
      <c r="CR242" s="75"/>
      <c r="CS242" s="19">
        <f t="shared" si="589"/>
        <v>0</v>
      </c>
      <c r="CT242" s="19">
        <f t="shared" si="590"/>
        <v>0</v>
      </c>
      <c r="CU242" s="19">
        <v>0</v>
      </c>
      <c r="CV242" s="20">
        <v>0</v>
      </c>
    </row>
    <row r="243" spans="1:101" s="52" customFormat="1" ht="31.2" x14ac:dyDescent="0.3">
      <c r="A243" s="105" t="s">
        <v>1</v>
      </c>
      <c r="B243" s="21" t="s">
        <v>66</v>
      </c>
      <c r="C243" s="22" t="s">
        <v>515</v>
      </c>
      <c r="D243" s="19">
        <f t="shared" si="656"/>
        <v>194920</v>
      </c>
      <c r="E243" s="19">
        <f t="shared" si="657"/>
        <v>184464</v>
      </c>
      <c r="F243" s="19">
        <f t="shared" si="658"/>
        <v>171217</v>
      </c>
      <c r="G243" s="23">
        <v>30000</v>
      </c>
      <c r="H243" s="23">
        <v>7500</v>
      </c>
      <c r="I243" s="19">
        <f>SUM(J243:O243)</f>
        <v>84368</v>
      </c>
      <c r="J243" s="23">
        <v>0</v>
      </c>
      <c r="K243" s="23">
        <v>4833</v>
      </c>
      <c r="L243" s="23">
        <v>0</v>
      </c>
      <c r="M243" s="23">
        <v>0</v>
      </c>
      <c r="N243" s="23">
        <v>38534</v>
      </c>
      <c r="O243" s="23">
        <v>41001</v>
      </c>
      <c r="P243" s="19">
        <f>SUM(Q243:R243)</f>
        <v>1020</v>
      </c>
      <c r="Q243" s="23">
        <v>1020</v>
      </c>
      <c r="R243" s="23">
        <v>0</v>
      </c>
      <c r="S243" s="23">
        <v>0</v>
      </c>
      <c r="T243" s="23">
        <v>19731</v>
      </c>
      <c r="U243" s="19">
        <f t="shared" si="659"/>
        <v>15265</v>
      </c>
      <c r="V243" s="23">
        <v>2500</v>
      </c>
      <c r="W243" s="23">
        <v>0</v>
      </c>
      <c r="X243" s="23">
        <v>0</v>
      </c>
      <c r="Y243" s="23">
        <v>5469</v>
      </c>
      <c r="Z243" s="23">
        <v>2280</v>
      </c>
      <c r="AA243" s="23">
        <v>1440</v>
      </c>
      <c r="AB243" s="23">
        <v>0</v>
      </c>
      <c r="AC243" s="23">
        <v>3576</v>
      </c>
      <c r="AD243" s="23"/>
      <c r="AE243" s="19">
        <f t="shared" si="660"/>
        <v>13333</v>
      </c>
      <c r="AF243" s="24">
        <v>0</v>
      </c>
      <c r="AG243" s="24">
        <v>0</v>
      </c>
      <c r="AH243" s="51">
        <v>1174</v>
      </c>
      <c r="AI243" s="51">
        <v>0</v>
      </c>
      <c r="AJ243" s="51">
        <v>0</v>
      </c>
      <c r="AK243" s="51">
        <v>0</v>
      </c>
      <c r="AL243" s="51">
        <v>0</v>
      </c>
      <c r="AM243" s="51">
        <v>1200</v>
      </c>
      <c r="AN243" s="51">
        <v>0</v>
      </c>
      <c r="AO243" s="51">
        <v>0</v>
      </c>
      <c r="AP243" s="51">
        <v>0</v>
      </c>
      <c r="AQ243" s="51">
        <v>0</v>
      </c>
      <c r="AR243" s="51">
        <v>0</v>
      </c>
      <c r="AS243" s="51">
        <v>0</v>
      </c>
      <c r="AT243" s="51">
        <v>0</v>
      </c>
      <c r="AU243" s="51">
        <v>0</v>
      </c>
      <c r="AV243" s="51">
        <v>0</v>
      </c>
      <c r="AW243" s="51">
        <v>0</v>
      </c>
      <c r="AX243" s="51">
        <v>3964</v>
      </c>
      <c r="AY243" s="51">
        <v>0</v>
      </c>
      <c r="AZ243" s="51">
        <v>6995</v>
      </c>
      <c r="BA243" s="19">
        <f t="shared" si="661"/>
        <v>13247</v>
      </c>
      <c r="BB243" s="19">
        <f t="shared" si="662"/>
        <v>0</v>
      </c>
      <c r="BC243" s="19">
        <v>0</v>
      </c>
      <c r="BD243" s="19">
        <v>0</v>
      </c>
      <c r="BE243" s="19">
        <v>0</v>
      </c>
      <c r="BF243" s="19">
        <f t="shared" si="663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>SUM(BL243)</f>
        <v>0</v>
      </c>
      <c r="BL243" s="19">
        <v>0</v>
      </c>
      <c r="BM243" s="19">
        <v>0</v>
      </c>
      <c r="BN243" s="19">
        <f t="shared" si="664"/>
        <v>13247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13247</v>
      </c>
      <c r="BY243" s="19">
        <v>0</v>
      </c>
      <c r="BZ243" s="19">
        <f t="shared" si="665"/>
        <v>10456</v>
      </c>
      <c r="CA243" s="19">
        <f t="shared" si="666"/>
        <v>10456</v>
      </c>
      <c r="CB243" s="19">
        <f>SUM(CC243:CD243)</f>
        <v>10456</v>
      </c>
      <c r="CC243" s="23">
        <v>0</v>
      </c>
      <c r="CD243" s="23">
        <v>10456</v>
      </c>
      <c r="CE243" s="19">
        <f t="shared" si="667"/>
        <v>0</v>
      </c>
      <c r="CF243" s="23">
        <v>0</v>
      </c>
      <c r="CG243" s="23">
        <v>0</v>
      </c>
      <c r="CH243" s="23">
        <v>0</v>
      </c>
      <c r="CI243" s="23">
        <v>0</v>
      </c>
      <c r="CJ243" s="23">
        <v>0</v>
      </c>
      <c r="CK243" s="19">
        <f t="shared" si="668"/>
        <v>0</v>
      </c>
      <c r="CL243" s="23"/>
      <c r="CM243" s="23"/>
      <c r="CN243" s="23">
        <v>0</v>
      </c>
      <c r="CO243" s="19">
        <v>0</v>
      </c>
      <c r="CP243" s="75"/>
      <c r="CQ243" s="75"/>
      <c r="CR243" s="75"/>
      <c r="CS243" s="19">
        <f>SUM(CT243)</f>
        <v>0</v>
      </c>
      <c r="CT243" s="19">
        <f>SUM(CU243:CV243)</f>
        <v>0</v>
      </c>
      <c r="CU243" s="19">
        <v>0</v>
      </c>
      <c r="CV243" s="20">
        <v>0</v>
      </c>
    </row>
    <row r="244" spans="1:101" s="52" customFormat="1" ht="15.6" x14ac:dyDescent="0.3">
      <c r="A244" s="105" t="s">
        <v>1</v>
      </c>
      <c r="B244" s="21" t="s">
        <v>290</v>
      </c>
      <c r="C244" s="22" t="s">
        <v>516</v>
      </c>
      <c r="D244" s="19">
        <f t="shared" si="656"/>
        <v>3189164</v>
      </c>
      <c r="E244" s="19">
        <f t="shared" si="657"/>
        <v>3122537</v>
      </c>
      <c r="F244" s="19">
        <f t="shared" si="658"/>
        <v>3122537</v>
      </c>
      <c r="G244" s="23">
        <v>1860291</v>
      </c>
      <c r="H244" s="23">
        <v>444373</v>
      </c>
      <c r="I244" s="19">
        <f t="shared" si="584"/>
        <v>230000</v>
      </c>
      <c r="J244" s="23">
        <v>0</v>
      </c>
      <c r="K244" s="23">
        <v>0</v>
      </c>
      <c r="L244" s="23">
        <v>0</v>
      </c>
      <c r="M244" s="23">
        <v>0</v>
      </c>
      <c r="N244" s="23">
        <v>100000</v>
      </c>
      <c r="O244" s="23">
        <v>130000</v>
      </c>
      <c r="P244" s="19">
        <f t="shared" si="585"/>
        <v>0</v>
      </c>
      <c r="Q244" s="23">
        <v>0</v>
      </c>
      <c r="R244" s="23">
        <v>0</v>
      </c>
      <c r="S244" s="23">
        <v>0</v>
      </c>
      <c r="T244" s="23">
        <v>28000</v>
      </c>
      <c r="U244" s="19">
        <f t="shared" si="659"/>
        <v>80709</v>
      </c>
      <c r="V244" s="23">
        <v>0</v>
      </c>
      <c r="W244" s="23">
        <v>49497</v>
      </c>
      <c r="X244" s="23">
        <v>21180</v>
      </c>
      <c r="Y244" s="23">
        <v>4032</v>
      </c>
      <c r="Z244" s="23">
        <v>6000</v>
      </c>
      <c r="AA244" s="23">
        <v>0</v>
      </c>
      <c r="AB244" s="23">
        <v>0</v>
      </c>
      <c r="AC244" s="23">
        <v>0</v>
      </c>
      <c r="AD244" s="23"/>
      <c r="AE244" s="19">
        <f t="shared" si="660"/>
        <v>479164</v>
      </c>
      <c r="AF244" s="24">
        <v>0</v>
      </c>
      <c r="AG244" s="24">
        <v>0</v>
      </c>
      <c r="AH244" s="51">
        <v>30000</v>
      </c>
      <c r="AI244" s="51">
        <f>10000+239164</f>
        <v>249164</v>
      </c>
      <c r="AJ244" s="51">
        <v>0</v>
      </c>
      <c r="AK244" s="51">
        <v>0</v>
      </c>
      <c r="AL244" s="51">
        <v>0</v>
      </c>
      <c r="AM244" s="51">
        <v>30000</v>
      </c>
      <c r="AN244" s="51">
        <v>0</v>
      </c>
      <c r="AO244" s="51">
        <v>0</v>
      </c>
      <c r="AP244" s="51">
        <v>0</v>
      </c>
      <c r="AQ244" s="51">
        <v>0</v>
      </c>
      <c r="AR244" s="51">
        <v>0</v>
      </c>
      <c r="AS244" s="51">
        <v>20000</v>
      </c>
      <c r="AT244" s="51">
        <v>0</v>
      </c>
      <c r="AU244" s="51">
        <v>0</v>
      </c>
      <c r="AV244" s="51">
        <v>0</v>
      </c>
      <c r="AW244" s="51">
        <v>0</v>
      </c>
      <c r="AX244" s="51">
        <v>0</v>
      </c>
      <c r="AY244" s="51">
        <v>100000</v>
      </c>
      <c r="AZ244" s="51">
        <v>50000</v>
      </c>
      <c r="BA244" s="19">
        <f t="shared" si="661"/>
        <v>0</v>
      </c>
      <c r="BB244" s="19">
        <f t="shared" si="662"/>
        <v>0</v>
      </c>
      <c r="BC244" s="19">
        <v>0</v>
      </c>
      <c r="BD244" s="19">
        <v>0</v>
      </c>
      <c r="BE244" s="19">
        <v>0</v>
      </c>
      <c r="BF244" s="19">
        <f t="shared" si="663"/>
        <v>0</v>
      </c>
      <c r="BG244" s="19">
        <v>0</v>
      </c>
      <c r="BH244" s="19">
        <v>0</v>
      </c>
      <c r="BI244" s="19">
        <v>0</v>
      </c>
      <c r="BJ244" s="19">
        <v>0</v>
      </c>
      <c r="BK244" s="19">
        <f t="shared" si="587"/>
        <v>0</v>
      </c>
      <c r="BL244" s="19">
        <v>0</v>
      </c>
      <c r="BM244" s="19">
        <v>0</v>
      </c>
      <c r="BN244" s="19">
        <f t="shared" si="664"/>
        <v>0</v>
      </c>
      <c r="BO244" s="19">
        <v>0</v>
      </c>
      <c r="BP244" s="19">
        <v>0</v>
      </c>
      <c r="BQ244" s="19">
        <v>0</v>
      </c>
      <c r="BR244" s="19">
        <v>0</v>
      </c>
      <c r="BS244" s="19">
        <v>0</v>
      </c>
      <c r="BT244" s="19">
        <v>0</v>
      </c>
      <c r="BU244" s="19">
        <v>0</v>
      </c>
      <c r="BV244" s="19">
        <v>0</v>
      </c>
      <c r="BW244" s="19">
        <v>0</v>
      </c>
      <c r="BX244" s="19">
        <v>0</v>
      </c>
      <c r="BY244" s="19">
        <v>0</v>
      </c>
      <c r="BZ244" s="19">
        <f t="shared" si="665"/>
        <v>66627</v>
      </c>
      <c r="CA244" s="19">
        <f t="shared" si="666"/>
        <v>66627</v>
      </c>
      <c r="CB244" s="19">
        <f t="shared" si="588"/>
        <v>66627</v>
      </c>
      <c r="CC244" s="23">
        <v>0</v>
      </c>
      <c r="CD244" s="23">
        <f>16627+50000</f>
        <v>66627</v>
      </c>
      <c r="CE244" s="19">
        <f t="shared" si="667"/>
        <v>0</v>
      </c>
      <c r="CF244" s="23">
        <v>0</v>
      </c>
      <c r="CG244" s="23">
        <v>0</v>
      </c>
      <c r="CH244" s="23">
        <v>0</v>
      </c>
      <c r="CI244" s="23">
        <v>0</v>
      </c>
      <c r="CJ244" s="23">
        <v>0</v>
      </c>
      <c r="CK244" s="19">
        <f t="shared" si="668"/>
        <v>0</v>
      </c>
      <c r="CL244" s="23"/>
      <c r="CM244" s="23"/>
      <c r="CN244" s="23">
        <v>0</v>
      </c>
      <c r="CO244" s="19">
        <v>0</v>
      </c>
      <c r="CP244" s="75"/>
      <c r="CQ244" s="75"/>
      <c r="CR244" s="75"/>
      <c r="CS244" s="19">
        <f t="shared" si="589"/>
        <v>0</v>
      </c>
      <c r="CT244" s="19">
        <f t="shared" si="590"/>
        <v>0</v>
      </c>
      <c r="CU244" s="19">
        <v>0</v>
      </c>
      <c r="CV244" s="20">
        <v>0</v>
      </c>
    </row>
    <row r="245" spans="1:101" ht="31.2" x14ac:dyDescent="0.3">
      <c r="A245" s="105" t="s">
        <v>1</v>
      </c>
      <c r="B245" s="21" t="s">
        <v>162</v>
      </c>
      <c r="C245" s="22" t="s">
        <v>517</v>
      </c>
      <c r="D245" s="19">
        <f t="shared" si="656"/>
        <v>6100503</v>
      </c>
      <c r="E245" s="19">
        <f t="shared" si="657"/>
        <v>6100503</v>
      </c>
      <c r="F245" s="19">
        <f t="shared" si="658"/>
        <v>6100503</v>
      </c>
      <c r="G245" s="23">
        <v>0</v>
      </c>
      <c r="H245" s="23">
        <v>0</v>
      </c>
      <c r="I245" s="19">
        <f>SUM(J245:O245)</f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19">
        <f>SUM(Q245:R245)</f>
        <v>0</v>
      </c>
      <c r="Q245" s="23">
        <v>0</v>
      </c>
      <c r="R245" s="23">
        <v>0</v>
      </c>
      <c r="S245" s="23">
        <v>0</v>
      </c>
      <c r="T245" s="23">
        <v>0</v>
      </c>
      <c r="U245" s="19">
        <f t="shared" si="659"/>
        <v>0</v>
      </c>
      <c r="V245" s="23"/>
      <c r="W245" s="23"/>
      <c r="X245" s="23"/>
      <c r="Y245" s="23"/>
      <c r="Z245" s="23"/>
      <c r="AA245" s="23">
        <v>0</v>
      </c>
      <c r="AB245" s="23">
        <v>0</v>
      </c>
      <c r="AC245" s="23"/>
      <c r="AD245" s="23"/>
      <c r="AE245" s="19">
        <f t="shared" si="660"/>
        <v>6100503</v>
      </c>
      <c r="AF245" s="24">
        <v>0</v>
      </c>
      <c r="AG245" s="24">
        <v>0</v>
      </c>
      <c r="AH245" s="51">
        <v>0</v>
      </c>
      <c r="AI245" s="51">
        <v>0</v>
      </c>
      <c r="AJ245" s="51">
        <v>0</v>
      </c>
      <c r="AK245" s="51">
        <v>0</v>
      </c>
      <c r="AL245" s="51">
        <v>0</v>
      </c>
      <c r="AM245" s="51">
        <v>0</v>
      </c>
      <c r="AN245" s="51">
        <v>0</v>
      </c>
      <c r="AO245" s="51">
        <v>0</v>
      </c>
      <c r="AP245" s="51">
        <v>0</v>
      </c>
      <c r="AQ245" s="51">
        <v>0</v>
      </c>
      <c r="AR245" s="51">
        <v>0</v>
      </c>
      <c r="AS245" s="51">
        <v>0</v>
      </c>
      <c r="AT245" s="51">
        <v>0</v>
      </c>
      <c r="AU245" s="51">
        <v>0</v>
      </c>
      <c r="AV245" s="51">
        <v>0</v>
      </c>
      <c r="AW245" s="51">
        <v>0</v>
      </c>
      <c r="AX245" s="51">
        <v>0</v>
      </c>
      <c r="AY245" s="51">
        <v>0</v>
      </c>
      <c r="AZ245" s="51">
        <v>6100503</v>
      </c>
      <c r="BA245" s="19">
        <f t="shared" si="661"/>
        <v>0</v>
      </c>
      <c r="BB245" s="19">
        <f t="shared" si="662"/>
        <v>0</v>
      </c>
      <c r="BC245" s="19">
        <v>0</v>
      </c>
      <c r="BD245" s="19">
        <v>0</v>
      </c>
      <c r="BE245" s="19">
        <v>0</v>
      </c>
      <c r="BF245" s="19">
        <f t="shared" si="663"/>
        <v>0</v>
      </c>
      <c r="BG245" s="19">
        <v>0</v>
      </c>
      <c r="BH245" s="19">
        <v>0</v>
      </c>
      <c r="BI245" s="19">
        <v>0</v>
      </c>
      <c r="BJ245" s="19">
        <v>0</v>
      </c>
      <c r="BK245" s="19">
        <f>SUM(BL245)</f>
        <v>0</v>
      </c>
      <c r="BL245" s="19">
        <v>0</v>
      </c>
      <c r="BM245" s="19">
        <v>0</v>
      </c>
      <c r="BN245" s="19">
        <f t="shared" si="664"/>
        <v>0</v>
      </c>
      <c r="BO245" s="19">
        <v>0</v>
      </c>
      <c r="BP245" s="19">
        <v>0</v>
      </c>
      <c r="BQ245" s="19">
        <v>0</v>
      </c>
      <c r="BR245" s="19">
        <v>0</v>
      </c>
      <c r="BS245" s="19">
        <v>0</v>
      </c>
      <c r="BT245" s="19">
        <v>0</v>
      </c>
      <c r="BU245" s="19">
        <v>0</v>
      </c>
      <c r="BV245" s="19">
        <v>0</v>
      </c>
      <c r="BW245" s="19">
        <v>0</v>
      </c>
      <c r="BX245" s="19">
        <v>0</v>
      </c>
      <c r="BY245" s="19">
        <v>0</v>
      </c>
      <c r="BZ245" s="19">
        <f t="shared" si="665"/>
        <v>0</v>
      </c>
      <c r="CA245" s="19">
        <f t="shared" si="666"/>
        <v>0</v>
      </c>
      <c r="CB245" s="19">
        <f>SUM(CC245:CD245)</f>
        <v>0</v>
      </c>
      <c r="CC245" s="23">
        <v>0</v>
      </c>
      <c r="CD245" s="23">
        <v>0</v>
      </c>
      <c r="CE245" s="19">
        <f t="shared" si="667"/>
        <v>0</v>
      </c>
      <c r="CF245" s="23">
        <v>0</v>
      </c>
      <c r="CG245" s="23">
        <v>0</v>
      </c>
      <c r="CH245" s="23">
        <v>0</v>
      </c>
      <c r="CI245" s="23">
        <v>0</v>
      </c>
      <c r="CJ245" s="23">
        <v>0</v>
      </c>
      <c r="CK245" s="19">
        <f t="shared" si="668"/>
        <v>0</v>
      </c>
      <c r="CL245" s="23">
        <v>0</v>
      </c>
      <c r="CM245" s="23">
        <v>0</v>
      </c>
      <c r="CN245" s="23">
        <v>0</v>
      </c>
      <c r="CO245" s="19">
        <v>0</v>
      </c>
      <c r="CP245" s="75"/>
      <c r="CQ245" s="75"/>
      <c r="CR245" s="75"/>
      <c r="CS245" s="19">
        <f>SUM(CT245)</f>
        <v>0</v>
      </c>
      <c r="CT245" s="19">
        <f>SUM(CU245:CV245)</f>
        <v>0</v>
      </c>
      <c r="CU245" s="19">
        <v>0</v>
      </c>
      <c r="CV245" s="20">
        <v>0</v>
      </c>
      <c r="CW245" s="52"/>
    </row>
    <row r="246" spans="1:101" ht="15.6" x14ac:dyDescent="0.3">
      <c r="A246" s="105" t="s">
        <v>1</v>
      </c>
      <c r="B246" s="21" t="s">
        <v>162</v>
      </c>
      <c r="C246" s="22" t="s">
        <v>518</v>
      </c>
      <c r="D246" s="19">
        <f t="shared" si="656"/>
        <v>36172539</v>
      </c>
      <c r="E246" s="19">
        <f t="shared" si="657"/>
        <v>36018539</v>
      </c>
      <c r="F246" s="19">
        <f t="shared" si="658"/>
        <v>36018539</v>
      </c>
      <c r="G246" s="23">
        <v>22900000</v>
      </c>
      <c r="H246" s="23">
        <v>5725000</v>
      </c>
      <c r="I246" s="19">
        <f t="shared" si="584"/>
        <v>1547383</v>
      </c>
      <c r="J246" s="23">
        <v>16000</v>
      </c>
      <c r="K246" s="23">
        <v>24500</v>
      </c>
      <c r="L246" s="23">
        <v>500000</v>
      </c>
      <c r="M246" s="23">
        <v>0</v>
      </c>
      <c r="N246" s="23">
        <v>591883</v>
      </c>
      <c r="O246" s="23">
        <v>415000</v>
      </c>
      <c r="P246" s="19">
        <f t="shared" si="585"/>
        <v>300000</v>
      </c>
      <c r="Q246" s="23">
        <v>10000</v>
      </c>
      <c r="R246" s="23">
        <v>290000</v>
      </c>
      <c r="S246" s="23">
        <v>0</v>
      </c>
      <c r="T246" s="23">
        <v>150000</v>
      </c>
      <c r="U246" s="19">
        <f t="shared" si="659"/>
        <v>3802810</v>
      </c>
      <c r="V246" s="23">
        <f>322000+204000</f>
        <v>526000</v>
      </c>
      <c r="W246" s="23">
        <f>1328181+960000</f>
        <v>2288181</v>
      </c>
      <c r="X246" s="23">
        <f>306699+291900</f>
        <v>598599</v>
      </c>
      <c r="Y246" s="23">
        <f>171095+118000</f>
        <v>289095</v>
      </c>
      <c r="Z246" s="23">
        <f>93000+7500</f>
        <v>100500</v>
      </c>
      <c r="AA246" s="23">
        <v>0</v>
      </c>
      <c r="AB246" s="23">
        <v>0</v>
      </c>
      <c r="AC246" s="23">
        <f>135+300</f>
        <v>435</v>
      </c>
      <c r="AD246" s="23"/>
      <c r="AE246" s="19">
        <f t="shared" si="660"/>
        <v>1593346</v>
      </c>
      <c r="AF246" s="24">
        <v>0</v>
      </c>
      <c r="AG246" s="24">
        <v>0</v>
      </c>
      <c r="AH246" s="51">
        <v>55000</v>
      </c>
      <c r="AI246" s="51">
        <v>222000</v>
      </c>
      <c r="AJ246" s="51">
        <v>250000</v>
      </c>
      <c r="AK246" s="51">
        <v>103500</v>
      </c>
      <c r="AL246" s="51">
        <v>0</v>
      </c>
      <c r="AM246" s="51">
        <v>123000</v>
      </c>
      <c r="AN246" s="51">
        <v>294852</v>
      </c>
      <c r="AO246" s="51">
        <v>0</v>
      </c>
      <c r="AP246" s="51">
        <v>10000</v>
      </c>
      <c r="AQ246" s="51">
        <v>0</v>
      </c>
      <c r="AR246" s="51">
        <v>0</v>
      </c>
      <c r="AS246" s="51">
        <v>0</v>
      </c>
      <c r="AT246" s="51">
        <v>0</v>
      </c>
      <c r="AU246" s="51">
        <v>0</v>
      </c>
      <c r="AV246" s="51">
        <v>0</v>
      </c>
      <c r="AW246" s="51">
        <v>0</v>
      </c>
      <c r="AX246" s="51">
        <v>0</v>
      </c>
      <c r="AY246" s="51">
        <v>0</v>
      </c>
      <c r="AZ246" s="51">
        <v>534994</v>
      </c>
      <c r="BA246" s="19">
        <f t="shared" si="661"/>
        <v>0</v>
      </c>
      <c r="BB246" s="19">
        <f t="shared" si="662"/>
        <v>0</v>
      </c>
      <c r="BC246" s="19">
        <v>0</v>
      </c>
      <c r="BD246" s="19">
        <v>0</v>
      </c>
      <c r="BE246" s="19">
        <v>0</v>
      </c>
      <c r="BF246" s="19">
        <f t="shared" si="663"/>
        <v>0</v>
      </c>
      <c r="BG246" s="19">
        <v>0</v>
      </c>
      <c r="BH246" s="19">
        <v>0</v>
      </c>
      <c r="BI246" s="19">
        <v>0</v>
      </c>
      <c r="BJ246" s="19">
        <v>0</v>
      </c>
      <c r="BK246" s="19">
        <f t="shared" si="587"/>
        <v>0</v>
      </c>
      <c r="BL246" s="19">
        <v>0</v>
      </c>
      <c r="BM246" s="19">
        <v>0</v>
      </c>
      <c r="BN246" s="19">
        <f t="shared" si="664"/>
        <v>0</v>
      </c>
      <c r="BO246" s="19">
        <v>0</v>
      </c>
      <c r="BP246" s="19">
        <v>0</v>
      </c>
      <c r="BQ246" s="19"/>
      <c r="BR246" s="19">
        <v>0</v>
      </c>
      <c r="BS246" s="19">
        <v>0</v>
      </c>
      <c r="BT246" s="19">
        <v>0</v>
      </c>
      <c r="BU246" s="19">
        <v>0</v>
      </c>
      <c r="BV246" s="19">
        <v>0</v>
      </c>
      <c r="BW246" s="19">
        <v>0</v>
      </c>
      <c r="BX246" s="19">
        <v>0</v>
      </c>
      <c r="BY246" s="19">
        <v>0</v>
      </c>
      <c r="BZ246" s="19">
        <f t="shared" si="665"/>
        <v>154000</v>
      </c>
      <c r="CA246" s="19">
        <f t="shared" si="666"/>
        <v>154000</v>
      </c>
      <c r="CB246" s="19">
        <f t="shared" si="588"/>
        <v>154000</v>
      </c>
      <c r="CC246" s="23">
        <v>0</v>
      </c>
      <c r="CD246" s="23">
        <v>154000</v>
      </c>
      <c r="CE246" s="19">
        <f t="shared" si="667"/>
        <v>0</v>
      </c>
      <c r="CF246" s="23">
        <v>0</v>
      </c>
      <c r="CG246" s="23">
        <v>0</v>
      </c>
      <c r="CH246" s="23">
        <v>0</v>
      </c>
      <c r="CI246" s="23">
        <v>0</v>
      </c>
      <c r="CJ246" s="23">
        <v>0</v>
      </c>
      <c r="CK246" s="19">
        <f t="shared" si="668"/>
        <v>0</v>
      </c>
      <c r="CL246" s="23"/>
      <c r="CM246" s="23">
        <v>0</v>
      </c>
      <c r="CN246" s="23">
        <v>0</v>
      </c>
      <c r="CO246" s="19">
        <v>0</v>
      </c>
      <c r="CP246" s="75"/>
      <c r="CQ246" s="75"/>
      <c r="CR246" s="75"/>
      <c r="CS246" s="19">
        <f t="shared" si="589"/>
        <v>0</v>
      </c>
      <c r="CT246" s="19">
        <f t="shared" si="590"/>
        <v>0</v>
      </c>
      <c r="CU246" s="19">
        <v>0</v>
      </c>
      <c r="CV246" s="20">
        <v>0</v>
      </c>
      <c r="CW246" s="52"/>
    </row>
    <row r="247" spans="1:101" ht="15.6" x14ac:dyDescent="0.3">
      <c r="A247" s="105" t="s">
        <v>1</v>
      </c>
      <c r="B247" s="21" t="s">
        <v>129</v>
      </c>
      <c r="C247" s="22" t="s">
        <v>519</v>
      </c>
      <c r="D247" s="19">
        <f t="shared" si="656"/>
        <v>2000092</v>
      </c>
      <c r="E247" s="19">
        <f t="shared" si="657"/>
        <v>1815092</v>
      </c>
      <c r="F247" s="19">
        <f t="shared" si="658"/>
        <v>1815092</v>
      </c>
      <c r="G247" s="23">
        <f>256000+92</f>
        <v>256092</v>
      </c>
      <c r="H247" s="23">
        <v>64000</v>
      </c>
      <c r="I247" s="19">
        <f t="shared" si="584"/>
        <v>730000</v>
      </c>
      <c r="J247" s="23">
        <v>0</v>
      </c>
      <c r="K247" s="23">
        <v>200000</v>
      </c>
      <c r="L247" s="23">
        <v>0</v>
      </c>
      <c r="M247" s="23">
        <v>0</v>
      </c>
      <c r="N247" s="23">
        <v>130000</v>
      </c>
      <c r="O247" s="23">
        <v>400000</v>
      </c>
      <c r="P247" s="19">
        <f t="shared" si="585"/>
        <v>10000</v>
      </c>
      <c r="Q247" s="23">
        <v>10000</v>
      </c>
      <c r="R247" s="23">
        <v>0</v>
      </c>
      <c r="S247" s="23">
        <v>0</v>
      </c>
      <c r="T247" s="23">
        <v>100000</v>
      </c>
      <c r="U247" s="19">
        <f t="shared" si="659"/>
        <v>10000</v>
      </c>
      <c r="V247" s="23">
        <v>10000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23"/>
      <c r="AE247" s="19">
        <f t="shared" si="660"/>
        <v>645000</v>
      </c>
      <c r="AF247" s="24">
        <v>0</v>
      </c>
      <c r="AG247" s="24">
        <v>0</v>
      </c>
      <c r="AH247" s="51">
        <v>100000</v>
      </c>
      <c r="AI247" s="51">
        <v>130000</v>
      </c>
      <c r="AJ247" s="51">
        <v>0</v>
      </c>
      <c r="AK247" s="51">
        <v>0</v>
      </c>
      <c r="AL247" s="51">
        <v>0</v>
      </c>
      <c r="AM247" s="51">
        <v>0</v>
      </c>
      <c r="AN247" s="51">
        <v>0</v>
      </c>
      <c r="AO247" s="51">
        <v>15000</v>
      </c>
      <c r="AP247" s="51">
        <v>0</v>
      </c>
      <c r="AQ247" s="51">
        <v>0</v>
      </c>
      <c r="AR247" s="51">
        <v>0</v>
      </c>
      <c r="AS247" s="51">
        <v>0</v>
      </c>
      <c r="AT247" s="51">
        <v>0</v>
      </c>
      <c r="AU247" s="51">
        <v>0</v>
      </c>
      <c r="AV247" s="51">
        <v>0</v>
      </c>
      <c r="AW247" s="51">
        <v>0</v>
      </c>
      <c r="AX247" s="51">
        <v>0</v>
      </c>
      <c r="AY247" s="51">
        <v>0</v>
      </c>
      <c r="AZ247" s="51">
        <v>400000</v>
      </c>
      <c r="BA247" s="19">
        <f t="shared" si="661"/>
        <v>0</v>
      </c>
      <c r="BB247" s="19">
        <f t="shared" si="662"/>
        <v>0</v>
      </c>
      <c r="BC247" s="19">
        <v>0</v>
      </c>
      <c r="BD247" s="19">
        <v>0</v>
      </c>
      <c r="BE247" s="19">
        <v>0</v>
      </c>
      <c r="BF247" s="19">
        <f t="shared" si="663"/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f t="shared" si="587"/>
        <v>0</v>
      </c>
      <c r="BL247" s="19">
        <v>0</v>
      </c>
      <c r="BM247" s="19">
        <v>0</v>
      </c>
      <c r="BN247" s="19">
        <f t="shared" si="664"/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0</v>
      </c>
      <c r="BU247" s="19">
        <v>0</v>
      </c>
      <c r="BV247" s="19">
        <v>0</v>
      </c>
      <c r="BW247" s="19">
        <v>0</v>
      </c>
      <c r="BX247" s="19">
        <v>0</v>
      </c>
      <c r="BY247" s="19">
        <v>0</v>
      </c>
      <c r="BZ247" s="19">
        <f t="shared" si="665"/>
        <v>185000</v>
      </c>
      <c r="CA247" s="19">
        <f t="shared" si="666"/>
        <v>185000</v>
      </c>
      <c r="CB247" s="19">
        <f t="shared" si="588"/>
        <v>185000</v>
      </c>
      <c r="CC247" s="23">
        <v>0</v>
      </c>
      <c r="CD247" s="23">
        <v>185000</v>
      </c>
      <c r="CE247" s="19">
        <f t="shared" si="667"/>
        <v>0</v>
      </c>
      <c r="CF247" s="23">
        <v>0</v>
      </c>
      <c r="CG247" s="23">
        <v>0</v>
      </c>
      <c r="CH247" s="23">
        <v>0</v>
      </c>
      <c r="CI247" s="23">
        <v>0</v>
      </c>
      <c r="CJ247" s="23">
        <v>0</v>
      </c>
      <c r="CK247" s="19">
        <f t="shared" si="668"/>
        <v>0</v>
      </c>
      <c r="CL247" s="23">
        <v>0</v>
      </c>
      <c r="CM247" s="23">
        <v>0</v>
      </c>
      <c r="CN247" s="23">
        <v>0</v>
      </c>
      <c r="CO247" s="19">
        <v>0</v>
      </c>
      <c r="CP247" s="75"/>
      <c r="CQ247" s="75"/>
      <c r="CR247" s="75"/>
      <c r="CS247" s="19">
        <f t="shared" si="589"/>
        <v>0</v>
      </c>
      <c r="CT247" s="19">
        <f t="shared" si="590"/>
        <v>0</v>
      </c>
      <c r="CU247" s="19">
        <v>0</v>
      </c>
      <c r="CV247" s="20">
        <v>0</v>
      </c>
      <c r="CW247" s="52"/>
    </row>
    <row r="248" spans="1:101" ht="15.6" x14ac:dyDescent="0.3">
      <c r="A248" s="105" t="s">
        <v>1</v>
      </c>
      <c r="B248" s="21" t="s">
        <v>131</v>
      </c>
      <c r="C248" s="22" t="s">
        <v>520</v>
      </c>
      <c r="D248" s="19">
        <f t="shared" si="656"/>
        <v>11356063</v>
      </c>
      <c r="E248" s="19">
        <f t="shared" si="657"/>
        <v>10529362</v>
      </c>
      <c r="F248" s="19">
        <f t="shared" si="658"/>
        <v>10529362</v>
      </c>
      <c r="G248" s="23">
        <v>777797</v>
      </c>
      <c r="H248" s="23">
        <v>168325</v>
      </c>
      <c r="I248" s="19">
        <f t="shared" si="584"/>
        <v>7055788</v>
      </c>
      <c r="J248" s="23">
        <f>12074+4000</f>
        <v>16074</v>
      </c>
      <c r="K248" s="23">
        <v>12500</v>
      </c>
      <c r="L248" s="23">
        <v>15000</v>
      </c>
      <c r="M248" s="23">
        <v>0</v>
      </c>
      <c r="N248" s="23">
        <v>1339548</v>
      </c>
      <c r="O248" s="23">
        <f>2232808+3439858</f>
        <v>5672666</v>
      </c>
      <c r="P248" s="19">
        <f t="shared" si="585"/>
        <v>0</v>
      </c>
      <c r="Q248" s="23">
        <v>0</v>
      </c>
      <c r="R248" s="23">
        <v>0</v>
      </c>
      <c r="S248" s="23">
        <v>0</v>
      </c>
      <c r="T248" s="23">
        <v>5400</v>
      </c>
      <c r="U248" s="19">
        <f t="shared" si="659"/>
        <v>754063</v>
      </c>
      <c r="V248" s="23">
        <f>110753+429799</f>
        <v>540552</v>
      </c>
      <c r="W248" s="23">
        <v>0</v>
      </c>
      <c r="X248" s="23">
        <f>69286+9693</f>
        <v>78979</v>
      </c>
      <c r="Y248" s="23">
        <v>4497</v>
      </c>
      <c r="Z248" s="23">
        <v>59359</v>
      </c>
      <c r="AA248" s="23">
        <v>0</v>
      </c>
      <c r="AB248" s="23">
        <v>0</v>
      </c>
      <c r="AC248" s="23">
        <v>70676</v>
      </c>
      <c r="AD248" s="23"/>
      <c r="AE248" s="19">
        <f t="shared" si="660"/>
        <v>1767989</v>
      </c>
      <c r="AF248" s="24">
        <v>0</v>
      </c>
      <c r="AG248" s="24">
        <v>0</v>
      </c>
      <c r="AH248" s="51">
        <f>78562+20000</f>
        <v>98562</v>
      </c>
      <c r="AI248" s="51">
        <f>488487+181461</f>
        <v>669948</v>
      </c>
      <c r="AJ248" s="51">
        <v>0</v>
      </c>
      <c r="AK248" s="51">
        <v>16500</v>
      </c>
      <c r="AL248" s="51">
        <v>5700</v>
      </c>
      <c r="AM248" s="51">
        <v>0</v>
      </c>
      <c r="AN248" s="51">
        <v>16802</v>
      </c>
      <c r="AO248" s="51">
        <v>0</v>
      </c>
      <c r="AP248" s="51">
        <v>0</v>
      </c>
      <c r="AQ248" s="51">
        <v>0</v>
      </c>
      <c r="AR248" s="51">
        <v>0</v>
      </c>
      <c r="AS248" s="51">
        <v>0</v>
      </c>
      <c r="AT248" s="51">
        <v>0</v>
      </c>
      <c r="AU248" s="51">
        <v>0</v>
      </c>
      <c r="AV248" s="51">
        <v>0</v>
      </c>
      <c r="AW248" s="51">
        <v>3895</v>
      </c>
      <c r="AX248" s="51">
        <v>0</v>
      </c>
      <c r="AY248" s="51">
        <v>0</v>
      </c>
      <c r="AZ248" s="51">
        <v>956582</v>
      </c>
      <c r="BA248" s="19">
        <f t="shared" si="661"/>
        <v>0</v>
      </c>
      <c r="BB248" s="19">
        <f t="shared" si="662"/>
        <v>0</v>
      </c>
      <c r="BC248" s="19">
        <v>0</v>
      </c>
      <c r="BD248" s="19">
        <v>0</v>
      </c>
      <c r="BE248" s="19">
        <v>0</v>
      </c>
      <c r="BF248" s="19">
        <f t="shared" si="663"/>
        <v>0</v>
      </c>
      <c r="BG248" s="19">
        <v>0</v>
      </c>
      <c r="BH248" s="19">
        <v>0</v>
      </c>
      <c r="BI248" s="19">
        <v>0</v>
      </c>
      <c r="BJ248" s="19">
        <v>0</v>
      </c>
      <c r="BK248" s="19">
        <f t="shared" si="587"/>
        <v>0</v>
      </c>
      <c r="BL248" s="19">
        <v>0</v>
      </c>
      <c r="BM248" s="19">
        <v>0</v>
      </c>
      <c r="BN248" s="19">
        <f t="shared" si="664"/>
        <v>0</v>
      </c>
      <c r="BO248" s="19">
        <v>0</v>
      </c>
      <c r="BP248" s="19">
        <v>0</v>
      </c>
      <c r="BQ248" s="19">
        <v>0</v>
      </c>
      <c r="BR248" s="19">
        <v>0</v>
      </c>
      <c r="BS248" s="19">
        <v>0</v>
      </c>
      <c r="BT248" s="19">
        <v>0</v>
      </c>
      <c r="BU248" s="19">
        <v>0</v>
      </c>
      <c r="BV248" s="19">
        <v>0</v>
      </c>
      <c r="BW248" s="19">
        <v>0</v>
      </c>
      <c r="BX248" s="19">
        <v>0</v>
      </c>
      <c r="BY248" s="19">
        <v>0</v>
      </c>
      <c r="BZ248" s="19">
        <f t="shared" si="665"/>
        <v>826701</v>
      </c>
      <c r="CA248" s="19">
        <f t="shared" si="666"/>
        <v>826701</v>
      </c>
      <c r="CB248" s="19">
        <f t="shared" si="588"/>
        <v>659780</v>
      </c>
      <c r="CC248" s="23">
        <v>310560</v>
      </c>
      <c r="CD248" s="23">
        <v>349220</v>
      </c>
      <c r="CE248" s="19">
        <f t="shared" si="667"/>
        <v>0</v>
      </c>
      <c r="CF248" s="23">
        <v>0</v>
      </c>
      <c r="CG248" s="23">
        <v>0</v>
      </c>
      <c r="CH248" s="23">
        <v>0</v>
      </c>
      <c r="CI248" s="23">
        <v>0</v>
      </c>
      <c r="CJ248" s="23">
        <v>0</v>
      </c>
      <c r="CK248" s="19">
        <f t="shared" si="668"/>
        <v>166921</v>
      </c>
      <c r="CL248" s="23">
        <v>0</v>
      </c>
      <c r="CM248" s="23">
        <f>146920+20001</f>
        <v>166921</v>
      </c>
      <c r="CN248" s="23">
        <v>0</v>
      </c>
      <c r="CO248" s="19">
        <v>0</v>
      </c>
      <c r="CP248" s="75"/>
      <c r="CQ248" s="75"/>
      <c r="CR248" s="75"/>
      <c r="CS248" s="19">
        <f t="shared" si="589"/>
        <v>0</v>
      </c>
      <c r="CT248" s="19">
        <f t="shared" si="590"/>
        <v>0</v>
      </c>
      <c r="CU248" s="19">
        <v>0</v>
      </c>
      <c r="CV248" s="20">
        <v>0</v>
      </c>
      <c r="CW248" s="52"/>
    </row>
    <row r="249" spans="1:101" ht="15.6" x14ac:dyDescent="0.3">
      <c r="A249" s="105" t="s">
        <v>1</v>
      </c>
      <c r="B249" s="21" t="s">
        <v>68</v>
      </c>
      <c r="C249" s="22" t="s">
        <v>521</v>
      </c>
      <c r="D249" s="19">
        <f t="shared" si="656"/>
        <v>42054</v>
      </c>
      <c r="E249" s="19">
        <f t="shared" si="657"/>
        <v>34980</v>
      </c>
      <c r="F249" s="19">
        <f t="shared" si="658"/>
        <v>34980</v>
      </c>
      <c r="G249" s="23">
        <v>3537</v>
      </c>
      <c r="H249" s="23">
        <v>884</v>
      </c>
      <c r="I249" s="19">
        <f t="shared" si="584"/>
        <v>21010</v>
      </c>
      <c r="J249" s="23">
        <f>2476+6686</f>
        <v>9162</v>
      </c>
      <c r="K249" s="23">
        <v>531</v>
      </c>
      <c r="L249" s="23">
        <v>0</v>
      </c>
      <c r="M249" s="23">
        <v>0</v>
      </c>
      <c r="N249" s="23">
        <v>0</v>
      </c>
      <c r="O249" s="23">
        <v>11317</v>
      </c>
      <c r="P249" s="19">
        <f t="shared" si="585"/>
        <v>0</v>
      </c>
      <c r="Q249" s="23">
        <v>0</v>
      </c>
      <c r="R249" s="23">
        <v>0</v>
      </c>
      <c r="S249" s="23">
        <v>0</v>
      </c>
      <c r="T249" s="23">
        <v>0</v>
      </c>
      <c r="U249" s="19">
        <f t="shared" si="659"/>
        <v>1418</v>
      </c>
      <c r="V249" s="23">
        <v>0</v>
      </c>
      <c r="W249" s="23">
        <v>0</v>
      </c>
      <c r="X249" s="23">
        <v>0</v>
      </c>
      <c r="Y249" s="23">
        <v>1418</v>
      </c>
      <c r="Z249" s="23">
        <v>0</v>
      </c>
      <c r="AA249" s="23">
        <v>0</v>
      </c>
      <c r="AB249" s="23">
        <v>0</v>
      </c>
      <c r="AC249" s="23">
        <v>0</v>
      </c>
      <c r="AD249" s="23"/>
      <c r="AE249" s="19">
        <f t="shared" si="660"/>
        <v>8131</v>
      </c>
      <c r="AF249" s="24">
        <v>0</v>
      </c>
      <c r="AG249" s="24">
        <v>0</v>
      </c>
      <c r="AH249" s="51">
        <v>707</v>
      </c>
      <c r="AI249" s="51">
        <v>0</v>
      </c>
      <c r="AJ249" s="51">
        <v>0</v>
      </c>
      <c r="AK249" s="51">
        <v>350</v>
      </c>
      <c r="AL249" s="51">
        <v>0</v>
      </c>
      <c r="AM249" s="51">
        <v>0</v>
      </c>
      <c r="AN249" s="51">
        <v>0</v>
      </c>
      <c r="AO249" s="51">
        <v>0</v>
      </c>
      <c r="AP249" s="51">
        <v>0</v>
      </c>
      <c r="AQ249" s="51">
        <v>0</v>
      </c>
      <c r="AR249" s="51">
        <v>0</v>
      </c>
      <c r="AS249" s="51">
        <v>0</v>
      </c>
      <c r="AT249" s="51">
        <v>0</v>
      </c>
      <c r="AU249" s="51">
        <v>0</v>
      </c>
      <c r="AV249" s="51">
        <v>0</v>
      </c>
      <c r="AW249" s="51">
        <v>0</v>
      </c>
      <c r="AX249" s="51">
        <v>0</v>
      </c>
      <c r="AY249" s="51">
        <v>0</v>
      </c>
      <c r="AZ249" s="51">
        <v>7074</v>
      </c>
      <c r="BA249" s="19">
        <f t="shared" si="661"/>
        <v>0</v>
      </c>
      <c r="BB249" s="19">
        <f t="shared" si="662"/>
        <v>0</v>
      </c>
      <c r="BC249" s="19">
        <v>0</v>
      </c>
      <c r="BD249" s="19">
        <v>0</v>
      </c>
      <c r="BE249" s="19">
        <v>0</v>
      </c>
      <c r="BF249" s="19">
        <f t="shared" si="663"/>
        <v>0</v>
      </c>
      <c r="BG249" s="19">
        <v>0</v>
      </c>
      <c r="BH249" s="19">
        <v>0</v>
      </c>
      <c r="BI249" s="19">
        <v>0</v>
      </c>
      <c r="BJ249" s="19">
        <v>0</v>
      </c>
      <c r="BK249" s="19">
        <f t="shared" si="587"/>
        <v>0</v>
      </c>
      <c r="BL249" s="19">
        <v>0</v>
      </c>
      <c r="BM249" s="19">
        <v>0</v>
      </c>
      <c r="BN249" s="19">
        <f t="shared" si="664"/>
        <v>0</v>
      </c>
      <c r="BO249" s="19">
        <v>0</v>
      </c>
      <c r="BP249" s="19">
        <v>0</v>
      </c>
      <c r="BQ249" s="19">
        <v>0</v>
      </c>
      <c r="BR249" s="19">
        <v>0</v>
      </c>
      <c r="BS249" s="19">
        <v>0</v>
      </c>
      <c r="BT249" s="19">
        <v>0</v>
      </c>
      <c r="BU249" s="19">
        <v>0</v>
      </c>
      <c r="BV249" s="19">
        <v>0</v>
      </c>
      <c r="BW249" s="19">
        <v>0</v>
      </c>
      <c r="BX249" s="19">
        <v>0</v>
      </c>
      <c r="BY249" s="19">
        <v>0</v>
      </c>
      <c r="BZ249" s="19">
        <f t="shared" si="665"/>
        <v>7074</v>
      </c>
      <c r="CA249" s="19">
        <f t="shared" si="666"/>
        <v>7074</v>
      </c>
      <c r="CB249" s="19">
        <f t="shared" si="588"/>
        <v>7074</v>
      </c>
      <c r="CC249" s="23">
        <v>0</v>
      </c>
      <c r="CD249" s="23">
        <v>7074</v>
      </c>
      <c r="CE249" s="19">
        <f t="shared" si="667"/>
        <v>0</v>
      </c>
      <c r="CF249" s="23">
        <v>0</v>
      </c>
      <c r="CG249" s="23">
        <v>0</v>
      </c>
      <c r="CH249" s="23">
        <v>0</v>
      </c>
      <c r="CI249" s="23">
        <v>0</v>
      </c>
      <c r="CJ249" s="23">
        <v>0</v>
      </c>
      <c r="CK249" s="19">
        <f t="shared" si="668"/>
        <v>0</v>
      </c>
      <c r="CL249" s="23">
        <v>0</v>
      </c>
      <c r="CM249" s="23">
        <v>0</v>
      </c>
      <c r="CN249" s="23">
        <v>0</v>
      </c>
      <c r="CO249" s="19">
        <v>0</v>
      </c>
      <c r="CP249" s="75"/>
      <c r="CQ249" s="75"/>
      <c r="CR249" s="75"/>
      <c r="CS249" s="19">
        <f t="shared" si="589"/>
        <v>0</v>
      </c>
      <c r="CT249" s="19">
        <f t="shared" si="590"/>
        <v>0</v>
      </c>
      <c r="CU249" s="19">
        <v>0</v>
      </c>
      <c r="CV249" s="20">
        <v>0</v>
      </c>
      <c r="CW249" s="52"/>
    </row>
    <row r="250" spans="1:101" ht="15.6" x14ac:dyDescent="0.3">
      <c r="A250" s="105" t="s">
        <v>1</v>
      </c>
      <c r="B250" s="21" t="s">
        <v>70</v>
      </c>
      <c r="C250" s="22" t="s">
        <v>522</v>
      </c>
      <c r="D250" s="19">
        <f t="shared" si="656"/>
        <v>610135</v>
      </c>
      <c r="E250" s="19">
        <f t="shared" si="657"/>
        <v>544635</v>
      </c>
      <c r="F250" s="19">
        <f t="shared" si="658"/>
        <v>544635</v>
      </c>
      <c r="G250" s="23">
        <f>55384+5000</f>
        <v>60384</v>
      </c>
      <c r="H250" s="23">
        <f>13846+2000</f>
        <v>15846</v>
      </c>
      <c r="I250" s="19">
        <f t="shared" si="584"/>
        <v>109080</v>
      </c>
      <c r="J250" s="23">
        <v>2200</v>
      </c>
      <c r="K250" s="23">
        <v>0</v>
      </c>
      <c r="L250" s="23">
        <v>0</v>
      </c>
      <c r="M250" s="23">
        <v>0</v>
      </c>
      <c r="N250" s="23">
        <v>10500</v>
      </c>
      <c r="O250" s="23">
        <v>96380</v>
      </c>
      <c r="P250" s="19">
        <f t="shared" si="585"/>
        <v>0</v>
      </c>
      <c r="Q250" s="23">
        <v>0</v>
      </c>
      <c r="R250" s="23">
        <v>0</v>
      </c>
      <c r="S250" s="23">
        <v>3000</v>
      </c>
      <c r="T250" s="23">
        <v>2500</v>
      </c>
      <c r="U250" s="19">
        <f t="shared" si="659"/>
        <v>299233</v>
      </c>
      <c r="V250" s="23">
        <v>1871</v>
      </c>
      <c r="W250" s="23">
        <v>144184</v>
      </c>
      <c r="X250" s="23">
        <f>67902+5000</f>
        <v>72902</v>
      </c>
      <c r="Y250" s="23">
        <f>54456+5000</f>
        <v>59456</v>
      </c>
      <c r="Z250" s="23">
        <f>7927+2000</f>
        <v>9927</v>
      </c>
      <c r="AA250" s="23">
        <v>9600</v>
      </c>
      <c r="AB250" s="23">
        <v>0</v>
      </c>
      <c r="AC250" s="23">
        <f>693+600</f>
        <v>1293</v>
      </c>
      <c r="AD250" s="23"/>
      <c r="AE250" s="19">
        <f t="shared" si="660"/>
        <v>54592</v>
      </c>
      <c r="AF250" s="24">
        <v>0</v>
      </c>
      <c r="AG250" s="24">
        <v>0</v>
      </c>
      <c r="AH250" s="51">
        <v>0</v>
      </c>
      <c r="AI250" s="51">
        <v>11572</v>
      </c>
      <c r="AJ250" s="51">
        <v>2440</v>
      </c>
      <c r="AK250" s="51">
        <v>7500</v>
      </c>
      <c r="AL250" s="51">
        <v>0</v>
      </c>
      <c r="AM250" s="51">
        <v>1620</v>
      </c>
      <c r="AN250" s="51">
        <v>12250</v>
      </c>
      <c r="AO250" s="51">
        <v>0</v>
      </c>
      <c r="AP250" s="51">
        <v>0</v>
      </c>
      <c r="AQ250" s="51">
        <v>0</v>
      </c>
      <c r="AR250" s="51">
        <v>0</v>
      </c>
      <c r="AS250" s="51">
        <v>14150</v>
      </c>
      <c r="AT250" s="51">
        <v>0</v>
      </c>
      <c r="AU250" s="51">
        <v>0</v>
      </c>
      <c r="AV250" s="51">
        <v>0</v>
      </c>
      <c r="AW250" s="51">
        <v>0</v>
      </c>
      <c r="AX250" s="51">
        <v>0</v>
      </c>
      <c r="AY250" s="51">
        <v>0</v>
      </c>
      <c r="AZ250" s="51">
        <v>5060</v>
      </c>
      <c r="BA250" s="19">
        <f t="shared" si="661"/>
        <v>0</v>
      </c>
      <c r="BB250" s="19">
        <f t="shared" si="662"/>
        <v>0</v>
      </c>
      <c r="BC250" s="19">
        <v>0</v>
      </c>
      <c r="BD250" s="19">
        <v>0</v>
      </c>
      <c r="BE250" s="19">
        <v>0</v>
      </c>
      <c r="BF250" s="19">
        <f t="shared" si="663"/>
        <v>0</v>
      </c>
      <c r="BG250" s="19">
        <v>0</v>
      </c>
      <c r="BH250" s="19">
        <v>0</v>
      </c>
      <c r="BI250" s="19">
        <v>0</v>
      </c>
      <c r="BJ250" s="19">
        <v>0</v>
      </c>
      <c r="BK250" s="19">
        <f t="shared" si="587"/>
        <v>0</v>
      </c>
      <c r="BL250" s="19">
        <v>0</v>
      </c>
      <c r="BM250" s="19">
        <v>0</v>
      </c>
      <c r="BN250" s="19">
        <f t="shared" si="664"/>
        <v>0</v>
      </c>
      <c r="BO250" s="19">
        <v>0</v>
      </c>
      <c r="BP250" s="19">
        <v>0</v>
      </c>
      <c r="BQ250" s="19">
        <v>0</v>
      </c>
      <c r="BR250" s="19">
        <v>0</v>
      </c>
      <c r="BS250" s="19">
        <v>0</v>
      </c>
      <c r="BT250" s="19">
        <v>0</v>
      </c>
      <c r="BU250" s="19">
        <v>0</v>
      </c>
      <c r="BV250" s="19">
        <v>0</v>
      </c>
      <c r="BW250" s="19">
        <v>0</v>
      </c>
      <c r="BX250" s="19">
        <v>0</v>
      </c>
      <c r="BY250" s="19">
        <v>0</v>
      </c>
      <c r="BZ250" s="19">
        <f t="shared" si="665"/>
        <v>65500</v>
      </c>
      <c r="CA250" s="19">
        <f t="shared" si="666"/>
        <v>65500</v>
      </c>
      <c r="CB250" s="19">
        <f t="shared" si="588"/>
        <v>65500</v>
      </c>
      <c r="CC250" s="23">
        <v>0</v>
      </c>
      <c r="CD250" s="23">
        <v>65500</v>
      </c>
      <c r="CE250" s="19">
        <f t="shared" si="667"/>
        <v>0</v>
      </c>
      <c r="CF250" s="23">
        <v>0</v>
      </c>
      <c r="CG250" s="23">
        <v>0</v>
      </c>
      <c r="CH250" s="23">
        <v>0</v>
      </c>
      <c r="CI250" s="23">
        <v>0</v>
      </c>
      <c r="CJ250" s="23">
        <v>0</v>
      </c>
      <c r="CK250" s="19">
        <f t="shared" si="668"/>
        <v>0</v>
      </c>
      <c r="CL250" s="23">
        <v>0</v>
      </c>
      <c r="CM250" s="23">
        <v>0</v>
      </c>
      <c r="CN250" s="23">
        <v>0</v>
      </c>
      <c r="CO250" s="19">
        <v>0</v>
      </c>
      <c r="CP250" s="75"/>
      <c r="CQ250" s="75"/>
      <c r="CR250" s="75"/>
      <c r="CS250" s="19">
        <f t="shared" si="589"/>
        <v>0</v>
      </c>
      <c r="CT250" s="19">
        <f t="shared" si="590"/>
        <v>0</v>
      </c>
      <c r="CU250" s="19">
        <v>0</v>
      </c>
      <c r="CV250" s="20">
        <v>0</v>
      </c>
      <c r="CW250" s="52"/>
    </row>
    <row r="251" spans="1:101" ht="31.2" x14ac:dyDescent="0.3">
      <c r="A251" s="105" t="s">
        <v>1</v>
      </c>
      <c r="B251" s="21" t="s">
        <v>70</v>
      </c>
      <c r="C251" s="22" t="s">
        <v>523</v>
      </c>
      <c r="D251" s="19">
        <f t="shared" si="656"/>
        <v>1180515</v>
      </c>
      <c r="E251" s="19">
        <f t="shared" si="657"/>
        <v>1146515</v>
      </c>
      <c r="F251" s="19">
        <f t="shared" si="658"/>
        <v>1146515</v>
      </c>
      <c r="G251" s="23">
        <f>223543+35236</f>
        <v>258779</v>
      </c>
      <c r="H251" s="23">
        <f>55886+8809</f>
        <v>64695</v>
      </c>
      <c r="I251" s="19">
        <f t="shared" si="584"/>
        <v>298233</v>
      </c>
      <c r="J251" s="23">
        <v>1000</v>
      </c>
      <c r="K251" s="23">
        <v>19250</v>
      </c>
      <c r="L251" s="23">
        <v>0</v>
      </c>
      <c r="M251" s="23">
        <v>0</v>
      </c>
      <c r="N251" s="23">
        <v>130615</v>
      </c>
      <c r="O251" s="23">
        <v>147368</v>
      </c>
      <c r="P251" s="19">
        <f t="shared" si="585"/>
        <v>0</v>
      </c>
      <c r="Q251" s="23">
        <v>0</v>
      </c>
      <c r="R251" s="23">
        <v>0</v>
      </c>
      <c r="S251" s="23">
        <v>0</v>
      </c>
      <c r="T251" s="23">
        <f>14352+66070</f>
        <v>80422</v>
      </c>
      <c r="U251" s="19">
        <f t="shared" si="659"/>
        <v>88057</v>
      </c>
      <c r="V251" s="23">
        <v>64373</v>
      </c>
      <c r="W251" s="23">
        <v>10266</v>
      </c>
      <c r="X251" s="23">
        <v>4479</v>
      </c>
      <c r="Y251" s="23">
        <v>1370</v>
      </c>
      <c r="Z251" s="23">
        <v>7569</v>
      </c>
      <c r="AA251" s="23">
        <v>0</v>
      </c>
      <c r="AB251" s="23">
        <v>0</v>
      </c>
      <c r="AC251" s="23">
        <v>0</v>
      </c>
      <c r="AD251" s="23"/>
      <c r="AE251" s="19">
        <f t="shared" si="660"/>
        <v>356329</v>
      </c>
      <c r="AF251" s="24">
        <v>0</v>
      </c>
      <c r="AG251" s="24">
        <v>0</v>
      </c>
      <c r="AH251" s="23">
        <v>33169</v>
      </c>
      <c r="AI251" s="23">
        <v>82250</v>
      </c>
      <c r="AJ251" s="23">
        <v>0</v>
      </c>
      <c r="AK251" s="23">
        <v>3600</v>
      </c>
      <c r="AL251" s="23">
        <v>0</v>
      </c>
      <c r="AM251" s="23">
        <v>2757</v>
      </c>
      <c r="AN251" s="23">
        <v>60000</v>
      </c>
      <c r="AO251" s="23">
        <v>0</v>
      </c>
      <c r="AP251" s="23">
        <v>0</v>
      </c>
      <c r="AQ251" s="23">
        <v>0</v>
      </c>
      <c r="AR251" s="23">
        <v>0</v>
      </c>
      <c r="AS251" s="23">
        <v>0</v>
      </c>
      <c r="AT251" s="23">
        <v>0</v>
      </c>
      <c r="AU251" s="23">
        <v>0</v>
      </c>
      <c r="AV251" s="23">
        <v>0</v>
      </c>
      <c r="AW251" s="23">
        <v>0</v>
      </c>
      <c r="AX251" s="23">
        <v>78163</v>
      </c>
      <c r="AY251" s="23">
        <v>0</v>
      </c>
      <c r="AZ251" s="23">
        <v>96390</v>
      </c>
      <c r="BA251" s="19">
        <f t="shared" si="661"/>
        <v>0</v>
      </c>
      <c r="BB251" s="19">
        <f t="shared" si="662"/>
        <v>0</v>
      </c>
      <c r="BC251" s="19">
        <v>0</v>
      </c>
      <c r="BD251" s="19">
        <v>0</v>
      </c>
      <c r="BE251" s="19">
        <v>0</v>
      </c>
      <c r="BF251" s="19">
        <f t="shared" si="663"/>
        <v>0</v>
      </c>
      <c r="BG251" s="19">
        <v>0</v>
      </c>
      <c r="BH251" s="19">
        <v>0</v>
      </c>
      <c r="BI251" s="19">
        <v>0</v>
      </c>
      <c r="BJ251" s="19">
        <v>0</v>
      </c>
      <c r="BK251" s="19">
        <f t="shared" si="587"/>
        <v>0</v>
      </c>
      <c r="BL251" s="19">
        <v>0</v>
      </c>
      <c r="BM251" s="19">
        <v>0</v>
      </c>
      <c r="BN251" s="19">
        <f t="shared" si="664"/>
        <v>0</v>
      </c>
      <c r="BO251" s="19">
        <v>0</v>
      </c>
      <c r="BP251" s="19">
        <v>0</v>
      </c>
      <c r="BQ251" s="19">
        <v>0</v>
      </c>
      <c r="BR251" s="19">
        <v>0</v>
      </c>
      <c r="BS251" s="19">
        <v>0</v>
      </c>
      <c r="BT251" s="19">
        <v>0</v>
      </c>
      <c r="BU251" s="19">
        <v>0</v>
      </c>
      <c r="BV251" s="19">
        <v>0</v>
      </c>
      <c r="BW251" s="19">
        <v>0</v>
      </c>
      <c r="BX251" s="19">
        <v>0</v>
      </c>
      <c r="BY251" s="19">
        <v>0</v>
      </c>
      <c r="BZ251" s="19">
        <f t="shared" si="665"/>
        <v>34000</v>
      </c>
      <c r="CA251" s="19">
        <f t="shared" si="666"/>
        <v>34000</v>
      </c>
      <c r="CB251" s="19">
        <f t="shared" si="588"/>
        <v>34000</v>
      </c>
      <c r="CC251" s="24"/>
      <c r="CD251" s="23">
        <v>34000</v>
      </c>
      <c r="CE251" s="19">
        <f t="shared" si="667"/>
        <v>0</v>
      </c>
      <c r="CF251" s="19">
        <v>0</v>
      </c>
      <c r="CG251" s="19">
        <v>0</v>
      </c>
      <c r="CH251" s="19">
        <v>0</v>
      </c>
      <c r="CI251" s="19">
        <v>0</v>
      </c>
      <c r="CJ251" s="19">
        <v>0</v>
      </c>
      <c r="CK251" s="19">
        <f t="shared" si="668"/>
        <v>0</v>
      </c>
      <c r="CL251" s="24"/>
      <c r="CM251" s="19">
        <v>0</v>
      </c>
      <c r="CN251" s="19">
        <v>0</v>
      </c>
      <c r="CO251" s="19">
        <v>0</v>
      </c>
      <c r="CP251" s="75"/>
      <c r="CQ251" s="75"/>
      <c r="CR251" s="75"/>
      <c r="CS251" s="19">
        <f t="shared" si="589"/>
        <v>0</v>
      </c>
      <c r="CT251" s="19">
        <f t="shared" si="590"/>
        <v>0</v>
      </c>
      <c r="CU251" s="19">
        <v>0</v>
      </c>
      <c r="CV251" s="20">
        <v>0</v>
      </c>
      <c r="CW251" s="52"/>
    </row>
    <row r="252" spans="1:101" s="79" customFormat="1" ht="31.2" x14ac:dyDescent="0.3">
      <c r="A252" s="105" t="s">
        <v>1</v>
      </c>
      <c r="B252" s="21" t="s">
        <v>70</v>
      </c>
      <c r="C252" s="22" t="s">
        <v>595</v>
      </c>
      <c r="D252" s="19">
        <f t="shared" si="656"/>
        <v>1725000</v>
      </c>
      <c r="E252" s="19">
        <f t="shared" si="657"/>
        <v>1527134</v>
      </c>
      <c r="F252" s="19">
        <f t="shared" si="658"/>
        <v>1527134</v>
      </c>
      <c r="G252" s="23">
        <f>258720+100000</f>
        <v>358720</v>
      </c>
      <c r="H252" s="23">
        <f>64680+25000</f>
        <v>89680</v>
      </c>
      <c r="I252" s="19">
        <f t="shared" si="584"/>
        <v>165640</v>
      </c>
      <c r="J252" s="23">
        <v>0</v>
      </c>
      <c r="K252" s="23">
        <v>0</v>
      </c>
      <c r="L252" s="23">
        <v>0</v>
      </c>
      <c r="M252" s="23">
        <v>0</v>
      </c>
      <c r="N252" s="23">
        <v>106068</v>
      </c>
      <c r="O252" s="23">
        <v>59572</v>
      </c>
      <c r="P252" s="19">
        <f t="shared" si="585"/>
        <v>73750</v>
      </c>
      <c r="Q252" s="23">
        <v>1000</v>
      </c>
      <c r="R252" s="23">
        <v>72750</v>
      </c>
      <c r="S252" s="23">
        <v>0</v>
      </c>
      <c r="T252" s="23">
        <v>31277</v>
      </c>
      <c r="U252" s="19">
        <f t="shared" si="659"/>
        <v>155889</v>
      </c>
      <c r="V252" s="23">
        <v>43582</v>
      </c>
      <c r="W252" s="23">
        <v>2368</v>
      </c>
      <c r="X252" s="23">
        <v>66942</v>
      </c>
      <c r="Y252" s="23">
        <v>13860</v>
      </c>
      <c r="Z252" s="23">
        <v>4414</v>
      </c>
      <c r="AA252" s="23">
        <v>0</v>
      </c>
      <c r="AB252" s="23">
        <v>0</v>
      </c>
      <c r="AC252" s="23">
        <v>24723</v>
      </c>
      <c r="AD252" s="23"/>
      <c r="AE252" s="19">
        <f t="shared" si="660"/>
        <v>652178</v>
      </c>
      <c r="AF252" s="24">
        <v>0</v>
      </c>
      <c r="AG252" s="24">
        <v>0</v>
      </c>
      <c r="AH252" s="23">
        <v>55355</v>
      </c>
      <c r="AI252" s="23">
        <v>160000</v>
      </c>
      <c r="AJ252" s="23">
        <v>0</v>
      </c>
      <c r="AK252" s="23">
        <v>1591</v>
      </c>
      <c r="AL252" s="23">
        <v>0</v>
      </c>
      <c r="AM252" s="23">
        <v>2587</v>
      </c>
      <c r="AN252" s="23">
        <v>3000</v>
      </c>
      <c r="AO252" s="23">
        <v>0</v>
      </c>
      <c r="AP252" s="23">
        <v>0</v>
      </c>
      <c r="AQ252" s="23">
        <v>0</v>
      </c>
      <c r="AR252" s="23">
        <v>0</v>
      </c>
      <c r="AS252" s="23">
        <v>0</v>
      </c>
      <c r="AT252" s="23">
        <v>0</v>
      </c>
      <c r="AU252" s="23">
        <v>0</v>
      </c>
      <c r="AV252" s="23">
        <v>0</v>
      </c>
      <c r="AW252" s="23">
        <v>0</v>
      </c>
      <c r="AX252" s="23">
        <v>109800</v>
      </c>
      <c r="AY252" s="23">
        <v>0</v>
      </c>
      <c r="AZ252" s="23">
        <v>319845</v>
      </c>
      <c r="BA252" s="19">
        <f t="shared" si="661"/>
        <v>0</v>
      </c>
      <c r="BB252" s="19">
        <f t="shared" si="662"/>
        <v>0</v>
      </c>
      <c r="BC252" s="19">
        <v>0</v>
      </c>
      <c r="BD252" s="19">
        <v>0</v>
      </c>
      <c r="BE252" s="19">
        <v>0</v>
      </c>
      <c r="BF252" s="19">
        <f t="shared" si="663"/>
        <v>0</v>
      </c>
      <c r="BG252" s="19">
        <v>0</v>
      </c>
      <c r="BH252" s="19">
        <v>0</v>
      </c>
      <c r="BI252" s="19">
        <v>0</v>
      </c>
      <c r="BJ252" s="19">
        <v>0</v>
      </c>
      <c r="BK252" s="19">
        <f t="shared" si="587"/>
        <v>0</v>
      </c>
      <c r="BL252" s="19">
        <v>0</v>
      </c>
      <c r="BM252" s="19">
        <v>0</v>
      </c>
      <c r="BN252" s="19">
        <f t="shared" si="664"/>
        <v>0</v>
      </c>
      <c r="BO252" s="19">
        <v>0</v>
      </c>
      <c r="BP252" s="19">
        <v>0</v>
      </c>
      <c r="BQ252" s="19">
        <v>0</v>
      </c>
      <c r="BR252" s="19">
        <v>0</v>
      </c>
      <c r="BS252" s="19">
        <v>0</v>
      </c>
      <c r="BT252" s="19">
        <v>0</v>
      </c>
      <c r="BU252" s="19">
        <v>0</v>
      </c>
      <c r="BV252" s="19">
        <v>0</v>
      </c>
      <c r="BW252" s="19">
        <v>0</v>
      </c>
      <c r="BX252" s="19">
        <v>0</v>
      </c>
      <c r="BY252" s="19">
        <v>0</v>
      </c>
      <c r="BZ252" s="19">
        <f t="shared" si="665"/>
        <v>197866</v>
      </c>
      <c r="CA252" s="19">
        <f t="shared" si="666"/>
        <v>197866</v>
      </c>
      <c r="CB252" s="19">
        <f t="shared" si="588"/>
        <v>197866</v>
      </c>
      <c r="CC252" s="24"/>
      <c r="CD252" s="23">
        <v>197866</v>
      </c>
      <c r="CE252" s="19">
        <f t="shared" si="667"/>
        <v>0</v>
      </c>
      <c r="CF252" s="19">
        <v>0</v>
      </c>
      <c r="CG252" s="19">
        <v>0</v>
      </c>
      <c r="CH252" s="19">
        <v>0</v>
      </c>
      <c r="CI252" s="19">
        <v>0</v>
      </c>
      <c r="CJ252" s="19">
        <v>0</v>
      </c>
      <c r="CK252" s="19">
        <f t="shared" si="668"/>
        <v>0</v>
      </c>
      <c r="CL252" s="24"/>
      <c r="CM252" s="19">
        <v>0</v>
      </c>
      <c r="CN252" s="19">
        <v>0</v>
      </c>
      <c r="CO252" s="19">
        <v>0</v>
      </c>
      <c r="CP252" s="75"/>
      <c r="CQ252" s="75"/>
      <c r="CR252" s="75"/>
      <c r="CS252" s="19">
        <f t="shared" si="589"/>
        <v>0</v>
      </c>
      <c r="CT252" s="19">
        <f t="shared" si="590"/>
        <v>0</v>
      </c>
      <c r="CU252" s="19">
        <v>0</v>
      </c>
      <c r="CV252" s="20">
        <v>0</v>
      </c>
      <c r="CW252" s="52"/>
    </row>
    <row r="253" spans="1:101" ht="31.2" x14ac:dyDescent="0.3">
      <c r="A253" s="107" t="s">
        <v>1</v>
      </c>
      <c r="B253" s="72" t="s">
        <v>72</v>
      </c>
      <c r="C253" s="73" t="s">
        <v>342</v>
      </c>
      <c r="D253" s="75">
        <f t="shared" si="656"/>
        <v>825000</v>
      </c>
      <c r="E253" s="75">
        <f t="shared" si="657"/>
        <v>625000</v>
      </c>
      <c r="F253" s="75">
        <f t="shared" si="658"/>
        <v>625000</v>
      </c>
      <c r="G253" s="76">
        <v>174008</v>
      </c>
      <c r="H253" s="76">
        <v>41777</v>
      </c>
      <c r="I253" s="75">
        <f t="shared" si="584"/>
        <v>195200</v>
      </c>
      <c r="J253" s="76">
        <v>0</v>
      </c>
      <c r="K253" s="76">
        <v>0</v>
      </c>
      <c r="L253" s="76">
        <v>0</v>
      </c>
      <c r="M253" s="76">
        <v>0</v>
      </c>
      <c r="N253" s="76">
        <v>18000</v>
      </c>
      <c r="O253" s="76">
        <v>177200</v>
      </c>
      <c r="P253" s="75">
        <f t="shared" si="585"/>
        <v>1000</v>
      </c>
      <c r="Q253" s="76">
        <v>1000</v>
      </c>
      <c r="R253" s="76">
        <v>0</v>
      </c>
      <c r="S253" s="76">
        <v>0</v>
      </c>
      <c r="T253" s="76">
        <v>9000</v>
      </c>
      <c r="U253" s="75">
        <f t="shared" si="659"/>
        <v>76615</v>
      </c>
      <c r="V253" s="76">
        <f>51615+25000</f>
        <v>76615</v>
      </c>
      <c r="W253" s="76">
        <v>0</v>
      </c>
      <c r="X253" s="76">
        <v>0</v>
      </c>
      <c r="Y253" s="76">
        <v>0</v>
      </c>
      <c r="Z253" s="76">
        <v>0</v>
      </c>
      <c r="AA253" s="76">
        <v>0</v>
      </c>
      <c r="AB253" s="76">
        <v>0</v>
      </c>
      <c r="AC253" s="76">
        <v>0</v>
      </c>
      <c r="AD253" s="76"/>
      <c r="AE253" s="75">
        <f t="shared" si="660"/>
        <v>127400</v>
      </c>
      <c r="AF253" s="77">
        <v>0</v>
      </c>
      <c r="AG253" s="77">
        <v>0</v>
      </c>
      <c r="AH253" s="76">
        <v>20000</v>
      </c>
      <c r="AI253" s="76">
        <v>51000</v>
      </c>
      <c r="AJ253" s="76">
        <v>0</v>
      </c>
      <c r="AK253" s="76">
        <v>400</v>
      </c>
      <c r="AL253" s="76">
        <v>0</v>
      </c>
      <c r="AM253" s="76">
        <v>1000</v>
      </c>
      <c r="AN253" s="76">
        <v>25000</v>
      </c>
      <c r="AO253" s="76">
        <v>0</v>
      </c>
      <c r="AP253" s="76">
        <v>0</v>
      </c>
      <c r="AQ253" s="76">
        <v>0</v>
      </c>
      <c r="AR253" s="76">
        <v>0</v>
      </c>
      <c r="AS253" s="76">
        <v>0</v>
      </c>
      <c r="AT253" s="76">
        <v>0</v>
      </c>
      <c r="AU253" s="76">
        <v>0</v>
      </c>
      <c r="AV253" s="76">
        <v>0</v>
      </c>
      <c r="AW253" s="76">
        <v>0</v>
      </c>
      <c r="AX253" s="76">
        <v>0</v>
      </c>
      <c r="AY253" s="76">
        <v>0</v>
      </c>
      <c r="AZ253" s="76">
        <v>30000</v>
      </c>
      <c r="BA253" s="75">
        <f t="shared" si="661"/>
        <v>0</v>
      </c>
      <c r="BB253" s="75">
        <f t="shared" si="662"/>
        <v>0</v>
      </c>
      <c r="BC253" s="75">
        <v>0</v>
      </c>
      <c r="BD253" s="75">
        <v>0</v>
      </c>
      <c r="BE253" s="75">
        <v>0</v>
      </c>
      <c r="BF253" s="75">
        <f t="shared" si="663"/>
        <v>0</v>
      </c>
      <c r="BG253" s="75">
        <v>0</v>
      </c>
      <c r="BH253" s="75">
        <v>0</v>
      </c>
      <c r="BI253" s="75">
        <v>0</v>
      </c>
      <c r="BJ253" s="75">
        <v>0</v>
      </c>
      <c r="BK253" s="75">
        <f t="shared" si="587"/>
        <v>0</v>
      </c>
      <c r="BL253" s="75">
        <v>0</v>
      </c>
      <c r="BM253" s="75">
        <v>0</v>
      </c>
      <c r="BN253" s="75">
        <f t="shared" si="664"/>
        <v>0</v>
      </c>
      <c r="BO253" s="75">
        <v>0</v>
      </c>
      <c r="BP253" s="75">
        <v>0</v>
      </c>
      <c r="BQ253" s="75">
        <v>0</v>
      </c>
      <c r="BR253" s="75">
        <v>0</v>
      </c>
      <c r="BS253" s="75">
        <v>0</v>
      </c>
      <c r="BT253" s="75">
        <v>0</v>
      </c>
      <c r="BU253" s="75">
        <v>0</v>
      </c>
      <c r="BV253" s="75">
        <v>0</v>
      </c>
      <c r="BW253" s="75">
        <v>0</v>
      </c>
      <c r="BX253" s="75">
        <v>0</v>
      </c>
      <c r="BY253" s="75">
        <v>0</v>
      </c>
      <c r="BZ253" s="75">
        <f t="shared" si="665"/>
        <v>200000</v>
      </c>
      <c r="CA253" s="75">
        <f t="shared" si="666"/>
        <v>200000</v>
      </c>
      <c r="CB253" s="75">
        <f t="shared" si="588"/>
        <v>200000</v>
      </c>
      <c r="CC253" s="77"/>
      <c r="CD253" s="76">
        <v>200000</v>
      </c>
      <c r="CE253" s="75">
        <f t="shared" si="667"/>
        <v>0</v>
      </c>
      <c r="CF253" s="75">
        <v>0</v>
      </c>
      <c r="CG253" s="75">
        <v>0</v>
      </c>
      <c r="CH253" s="75">
        <v>0</v>
      </c>
      <c r="CI253" s="75">
        <v>0</v>
      </c>
      <c r="CJ253" s="75">
        <v>0</v>
      </c>
      <c r="CK253" s="75">
        <f t="shared" si="668"/>
        <v>0</v>
      </c>
      <c r="CL253" s="77"/>
      <c r="CM253" s="75">
        <v>0</v>
      </c>
      <c r="CN253" s="75">
        <v>0</v>
      </c>
      <c r="CO253" s="75">
        <v>0</v>
      </c>
      <c r="CP253" s="75"/>
      <c r="CQ253" s="75"/>
      <c r="CR253" s="75"/>
      <c r="CS253" s="75">
        <f t="shared" si="589"/>
        <v>0</v>
      </c>
      <c r="CT253" s="75">
        <f t="shared" si="590"/>
        <v>0</v>
      </c>
      <c r="CU253" s="75">
        <v>0</v>
      </c>
      <c r="CV253" s="78">
        <v>0</v>
      </c>
      <c r="CW253" s="79"/>
    </row>
    <row r="254" spans="1:101" ht="15.6" x14ac:dyDescent="0.3">
      <c r="A254" s="105"/>
      <c r="B254" s="33" t="s">
        <v>78</v>
      </c>
      <c r="C254" s="32" t="s">
        <v>562</v>
      </c>
      <c r="D254" s="19">
        <f t="shared" si="656"/>
        <v>1273428</v>
      </c>
      <c r="E254" s="19">
        <f t="shared" si="657"/>
        <v>1214644</v>
      </c>
      <c r="F254" s="19">
        <f t="shared" ref="F254" si="669">SUM(G254+H254+I254+P254+S254+T254+U254+AE254+AD254)</f>
        <v>1214644</v>
      </c>
      <c r="G254" s="23"/>
      <c r="H254" s="23"/>
      <c r="I254" s="19">
        <f t="shared" ref="I254" si="670">SUM(J254:O254)</f>
        <v>505410</v>
      </c>
      <c r="J254" s="23">
        <v>0</v>
      </c>
      <c r="K254" s="23">
        <v>0</v>
      </c>
      <c r="L254" s="23">
        <v>0</v>
      </c>
      <c r="M254" s="23">
        <v>0</v>
      </c>
      <c r="N254" s="23">
        <v>273492</v>
      </c>
      <c r="O254" s="23">
        <v>231918</v>
      </c>
      <c r="P254" s="19">
        <f t="shared" ref="P254" si="671">SUM(Q254:R254)</f>
        <v>60000</v>
      </c>
      <c r="Q254" s="23">
        <v>0</v>
      </c>
      <c r="R254" s="23">
        <v>60000</v>
      </c>
      <c r="S254" s="23">
        <v>0</v>
      </c>
      <c r="T254" s="23">
        <v>50000</v>
      </c>
      <c r="U254" s="19">
        <f t="shared" si="659"/>
        <v>247134</v>
      </c>
      <c r="V254" s="23">
        <v>27000</v>
      </c>
      <c r="W254" s="23">
        <f>64173+9407</f>
        <v>73580</v>
      </c>
      <c r="X254" s="23">
        <f>90743+12908</f>
        <v>103651</v>
      </c>
      <c r="Y254" s="23">
        <f>18286+113</f>
        <v>18399</v>
      </c>
      <c r="Z254" s="23">
        <v>8162</v>
      </c>
      <c r="AA254" s="23">
        <v>12000</v>
      </c>
      <c r="AB254" s="23">
        <v>0</v>
      </c>
      <c r="AC254" s="23">
        <v>4342</v>
      </c>
      <c r="AD254" s="23"/>
      <c r="AE254" s="19">
        <f t="shared" si="660"/>
        <v>352100</v>
      </c>
      <c r="AF254" s="24"/>
      <c r="AG254" s="24">
        <v>0</v>
      </c>
      <c r="AH254" s="23">
        <v>85400</v>
      </c>
      <c r="AI254" s="23">
        <v>97000</v>
      </c>
      <c r="AJ254" s="23">
        <v>0</v>
      </c>
      <c r="AK254" s="23">
        <v>19700</v>
      </c>
      <c r="AL254" s="23">
        <v>0</v>
      </c>
      <c r="AM254" s="23">
        <v>0</v>
      </c>
      <c r="AN254" s="23">
        <v>0</v>
      </c>
      <c r="AO254" s="23">
        <v>0</v>
      </c>
      <c r="AP254" s="23">
        <v>0</v>
      </c>
      <c r="AQ254" s="23">
        <v>0</v>
      </c>
      <c r="AR254" s="23">
        <v>0</v>
      </c>
      <c r="AS254" s="23">
        <v>0</v>
      </c>
      <c r="AT254" s="23">
        <v>0</v>
      </c>
      <c r="AU254" s="23">
        <v>0</v>
      </c>
      <c r="AV254" s="23">
        <v>0</v>
      </c>
      <c r="AW254" s="23">
        <v>0</v>
      </c>
      <c r="AX254" s="23">
        <v>0</v>
      </c>
      <c r="AY254" s="23">
        <v>0</v>
      </c>
      <c r="AZ254" s="23">
        <v>150000</v>
      </c>
      <c r="BA254" s="19">
        <f t="shared" si="661"/>
        <v>0</v>
      </c>
      <c r="BB254" s="19">
        <f t="shared" ref="BB254" si="672">SUM(BC254:BE254)</f>
        <v>0</v>
      </c>
      <c r="BC254" s="19">
        <v>0</v>
      </c>
      <c r="BD254" s="19">
        <v>0</v>
      </c>
      <c r="BE254" s="19">
        <v>0</v>
      </c>
      <c r="BF254" s="19">
        <f t="shared" si="663"/>
        <v>0</v>
      </c>
      <c r="BG254" s="19">
        <v>0</v>
      </c>
      <c r="BH254" s="19">
        <v>0</v>
      </c>
      <c r="BI254" s="19">
        <v>0</v>
      </c>
      <c r="BJ254" s="19">
        <v>0</v>
      </c>
      <c r="BK254" s="19">
        <f t="shared" ref="BK254" si="673">SUM(BL254)</f>
        <v>0</v>
      </c>
      <c r="BL254" s="19">
        <v>0</v>
      </c>
      <c r="BM254" s="19">
        <v>0</v>
      </c>
      <c r="BN254" s="19">
        <f t="shared" si="664"/>
        <v>0</v>
      </c>
      <c r="BO254" s="19">
        <v>0</v>
      </c>
      <c r="BP254" s="19">
        <v>0</v>
      </c>
      <c r="BQ254" s="19">
        <v>0</v>
      </c>
      <c r="BR254" s="19">
        <v>0</v>
      </c>
      <c r="BS254" s="19">
        <v>0</v>
      </c>
      <c r="BT254" s="19">
        <v>0</v>
      </c>
      <c r="BU254" s="19">
        <v>0</v>
      </c>
      <c r="BV254" s="19">
        <v>0</v>
      </c>
      <c r="BW254" s="19">
        <v>0</v>
      </c>
      <c r="BX254" s="19">
        <v>0</v>
      </c>
      <c r="BY254" s="19">
        <v>0</v>
      </c>
      <c r="BZ254" s="19">
        <f t="shared" si="665"/>
        <v>58784</v>
      </c>
      <c r="CA254" s="19">
        <f t="shared" si="666"/>
        <v>58784</v>
      </c>
      <c r="CB254" s="19">
        <f t="shared" ref="CB254" si="674">SUM(CC254:CD254)</f>
        <v>58784</v>
      </c>
      <c r="CC254" s="24"/>
      <c r="CD254" s="23">
        <v>58784</v>
      </c>
      <c r="CE254" s="19">
        <f t="shared" si="667"/>
        <v>0</v>
      </c>
      <c r="CF254" s="19">
        <v>0</v>
      </c>
      <c r="CG254" s="19">
        <v>0</v>
      </c>
      <c r="CH254" s="19">
        <v>0</v>
      </c>
      <c r="CI254" s="19">
        <v>0</v>
      </c>
      <c r="CJ254" s="19">
        <v>0</v>
      </c>
      <c r="CK254" s="19">
        <f t="shared" si="668"/>
        <v>0</v>
      </c>
      <c r="CL254" s="24"/>
      <c r="CM254" s="19">
        <v>0</v>
      </c>
      <c r="CN254" s="19">
        <v>0</v>
      </c>
      <c r="CO254" s="39">
        <v>0</v>
      </c>
      <c r="CP254" s="75"/>
      <c r="CQ254" s="75"/>
      <c r="CR254" s="75"/>
      <c r="CS254" s="19">
        <f t="shared" ref="CS254" si="675">SUM(CT254)</f>
        <v>0</v>
      </c>
      <c r="CT254" s="19">
        <f t="shared" ref="CT254" si="676">SUM(CU254:CV254)</f>
        <v>0</v>
      </c>
      <c r="CU254" s="19">
        <v>0</v>
      </c>
      <c r="CV254" s="20">
        <v>0</v>
      </c>
      <c r="CW254" s="52"/>
    </row>
    <row r="255" spans="1:101" s="58" customFormat="1" ht="15.6" x14ac:dyDescent="0.3">
      <c r="A255" s="105" t="s">
        <v>1</v>
      </c>
      <c r="B255" s="33" t="s">
        <v>78</v>
      </c>
      <c r="C255" s="32" t="s">
        <v>563</v>
      </c>
      <c r="D255" s="19">
        <f t="shared" si="656"/>
        <v>708866</v>
      </c>
      <c r="E255" s="19">
        <f t="shared" si="657"/>
        <v>287636</v>
      </c>
      <c r="F255" s="19">
        <f t="shared" si="658"/>
        <v>287636</v>
      </c>
      <c r="G255" s="23">
        <v>0</v>
      </c>
      <c r="H255" s="23">
        <v>0</v>
      </c>
      <c r="I255" s="19">
        <f t="shared" si="584"/>
        <v>91684</v>
      </c>
      <c r="J255" s="23"/>
      <c r="K255" s="23"/>
      <c r="L255" s="23"/>
      <c r="M255" s="23"/>
      <c r="N255" s="23">
        <v>45927</v>
      </c>
      <c r="O255" s="23">
        <v>45757</v>
      </c>
      <c r="P255" s="19">
        <f t="shared" si="585"/>
        <v>0</v>
      </c>
      <c r="Q255" s="23"/>
      <c r="R255" s="23">
        <v>0</v>
      </c>
      <c r="S255" s="23">
        <v>15155</v>
      </c>
      <c r="T255" s="23">
        <v>28332</v>
      </c>
      <c r="U255" s="19">
        <f t="shared" si="659"/>
        <v>81585</v>
      </c>
      <c r="V255" s="23">
        <f>6652+5000</f>
        <v>11652</v>
      </c>
      <c r="W255" s="23">
        <f>33340+5323</f>
        <v>38663</v>
      </c>
      <c r="X255" s="23">
        <f>20771+1788</f>
        <v>22559</v>
      </c>
      <c r="Y255" s="23">
        <f>4961+304</f>
        <v>5265</v>
      </c>
      <c r="Z255" s="23">
        <v>3446</v>
      </c>
      <c r="AA255" s="23">
        <v>0</v>
      </c>
      <c r="AB255" s="23"/>
      <c r="AC255" s="23"/>
      <c r="AD255" s="23"/>
      <c r="AE255" s="19">
        <f t="shared" si="660"/>
        <v>70880</v>
      </c>
      <c r="AF255" s="24"/>
      <c r="AG255" s="24"/>
      <c r="AH255" s="23">
        <v>9338</v>
      </c>
      <c r="AI255" s="23">
        <v>6493</v>
      </c>
      <c r="AJ255" s="23"/>
      <c r="AK255" s="23">
        <v>3992</v>
      </c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>
        <v>51057</v>
      </c>
      <c r="BA255" s="19">
        <f t="shared" si="661"/>
        <v>0</v>
      </c>
      <c r="BB255" s="19">
        <f t="shared" si="662"/>
        <v>0</v>
      </c>
      <c r="BC255" s="19">
        <v>0</v>
      </c>
      <c r="BD255" s="19">
        <v>0</v>
      </c>
      <c r="BE255" s="19">
        <v>0</v>
      </c>
      <c r="BF255" s="19">
        <f t="shared" si="663"/>
        <v>0</v>
      </c>
      <c r="BG255" s="19">
        <v>0</v>
      </c>
      <c r="BH255" s="19">
        <v>0</v>
      </c>
      <c r="BI255" s="19">
        <v>0</v>
      </c>
      <c r="BJ255" s="19">
        <v>0</v>
      </c>
      <c r="BK255" s="19">
        <f t="shared" si="587"/>
        <v>0</v>
      </c>
      <c r="BL255" s="19">
        <v>0</v>
      </c>
      <c r="BM255" s="19">
        <v>0</v>
      </c>
      <c r="BN255" s="19">
        <f t="shared" si="664"/>
        <v>0</v>
      </c>
      <c r="BO255" s="19">
        <v>0</v>
      </c>
      <c r="BP255" s="19">
        <v>0</v>
      </c>
      <c r="BQ255" s="19">
        <v>0</v>
      </c>
      <c r="BR255" s="19">
        <v>0</v>
      </c>
      <c r="BS255" s="19">
        <v>0</v>
      </c>
      <c r="BT255" s="19">
        <v>0</v>
      </c>
      <c r="BU255" s="19">
        <v>0</v>
      </c>
      <c r="BV255" s="19">
        <v>0</v>
      </c>
      <c r="BW255" s="19">
        <v>0</v>
      </c>
      <c r="BX255" s="19">
        <v>0</v>
      </c>
      <c r="BY255" s="19">
        <v>0</v>
      </c>
      <c r="BZ255" s="19">
        <f t="shared" si="665"/>
        <v>421230</v>
      </c>
      <c r="CA255" s="19">
        <f t="shared" si="666"/>
        <v>421230</v>
      </c>
      <c r="CB255" s="19">
        <f t="shared" si="588"/>
        <v>69124</v>
      </c>
      <c r="CC255" s="24"/>
      <c r="CD255" s="23">
        <v>69124</v>
      </c>
      <c r="CE255" s="19">
        <f t="shared" si="667"/>
        <v>352106</v>
      </c>
      <c r="CF255" s="19">
        <v>0</v>
      </c>
      <c r="CG255" s="19">
        <v>0</v>
      </c>
      <c r="CH255" s="19">
        <v>0</v>
      </c>
      <c r="CI255" s="19">
        <v>0</v>
      </c>
      <c r="CJ255" s="19">
        <v>352106</v>
      </c>
      <c r="CK255" s="19">
        <f t="shared" si="668"/>
        <v>0</v>
      </c>
      <c r="CL255" s="23"/>
      <c r="CM255" s="19">
        <v>0</v>
      </c>
      <c r="CN255" s="19">
        <v>0</v>
      </c>
      <c r="CO255" s="39">
        <v>0</v>
      </c>
      <c r="CP255" s="75"/>
      <c r="CQ255" s="75"/>
      <c r="CR255" s="75"/>
      <c r="CS255" s="19">
        <f t="shared" si="589"/>
        <v>0</v>
      </c>
      <c r="CT255" s="19">
        <f t="shared" si="590"/>
        <v>0</v>
      </c>
      <c r="CU255" s="19">
        <v>0</v>
      </c>
      <c r="CV255" s="20">
        <v>0</v>
      </c>
      <c r="CW255" s="52"/>
    </row>
    <row r="256" spans="1:101" ht="15.6" x14ac:dyDescent="0.3">
      <c r="A256" s="104" t="s">
        <v>291</v>
      </c>
      <c r="B256" s="16" t="s">
        <v>1</v>
      </c>
      <c r="C256" s="17" t="s">
        <v>292</v>
      </c>
      <c r="D256" s="18">
        <f t="shared" ref="D256:AC256" si="677">SUM(D257:D269)</f>
        <v>84134918</v>
      </c>
      <c r="E256" s="18">
        <f t="shared" si="677"/>
        <v>1961467</v>
      </c>
      <c r="F256" s="18">
        <f t="shared" si="677"/>
        <v>1961467</v>
      </c>
      <c r="G256" s="18">
        <f t="shared" si="677"/>
        <v>0</v>
      </c>
      <c r="H256" s="18">
        <f t="shared" si="677"/>
        <v>0</v>
      </c>
      <c r="I256" s="18">
        <f t="shared" si="677"/>
        <v>0</v>
      </c>
      <c r="J256" s="18">
        <f t="shared" si="677"/>
        <v>0</v>
      </c>
      <c r="K256" s="18">
        <f t="shared" si="677"/>
        <v>0</v>
      </c>
      <c r="L256" s="18">
        <f t="shared" si="677"/>
        <v>0</v>
      </c>
      <c r="M256" s="18">
        <f t="shared" si="677"/>
        <v>0</v>
      </c>
      <c r="N256" s="18">
        <f t="shared" si="677"/>
        <v>0</v>
      </c>
      <c r="O256" s="18">
        <f t="shared" si="677"/>
        <v>0</v>
      </c>
      <c r="P256" s="18">
        <f t="shared" si="677"/>
        <v>0</v>
      </c>
      <c r="Q256" s="18">
        <f t="shared" si="677"/>
        <v>0</v>
      </c>
      <c r="R256" s="18">
        <f t="shared" si="677"/>
        <v>0</v>
      </c>
      <c r="S256" s="18">
        <f t="shared" si="677"/>
        <v>0</v>
      </c>
      <c r="T256" s="18">
        <f t="shared" si="677"/>
        <v>0</v>
      </c>
      <c r="U256" s="18">
        <f t="shared" si="677"/>
        <v>0</v>
      </c>
      <c r="V256" s="18">
        <f t="shared" si="677"/>
        <v>0</v>
      </c>
      <c r="W256" s="18">
        <f t="shared" si="677"/>
        <v>0</v>
      </c>
      <c r="X256" s="18">
        <f t="shared" si="677"/>
        <v>0</v>
      </c>
      <c r="Y256" s="18">
        <f t="shared" si="677"/>
        <v>0</v>
      </c>
      <c r="Z256" s="18">
        <f t="shared" si="677"/>
        <v>0</v>
      </c>
      <c r="AA256" s="18">
        <f t="shared" si="677"/>
        <v>0</v>
      </c>
      <c r="AB256" s="18">
        <f t="shared" si="677"/>
        <v>0</v>
      </c>
      <c r="AC256" s="18">
        <f t="shared" si="677"/>
        <v>0</v>
      </c>
      <c r="AD256" s="18"/>
      <c r="AE256" s="18">
        <f t="shared" ref="AE256:AX256" si="678">SUM(AE257:AE269)</f>
        <v>1961467</v>
      </c>
      <c r="AF256" s="18">
        <f t="shared" si="678"/>
        <v>0</v>
      </c>
      <c r="AG256" s="18">
        <f t="shared" si="678"/>
        <v>0</v>
      </c>
      <c r="AH256" s="18">
        <f t="shared" si="678"/>
        <v>0</v>
      </c>
      <c r="AI256" s="18">
        <f t="shared" si="678"/>
        <v>0</v>
      </c>
      <c r="AJ256" s="18">
        <f t="shared" si="678"/>
        <v>0</v>
      </c>
      <c r="AK256" s="18">
        <f t="shared" si="678"/>
        <v>0</v>
      </c>
      <c r="AL256" s="18">
        <f t="shared" si="678"/>
        <v>0</v>
      </c>
      <c r="AM256" s="18">
        <f t="shared" si="678"/>
        <v>0</v>
      </c>
      <c r="AN256" s="18">
        <f t="shared" si="678"/>
        <v>0</v>
      </c>
      <c r="AO256" s="18">
        <f t="shared" si="678"/>
        <v>0</v>
      </c>
      <c r="AP256" s="18">
        <f t="shared" si="678"/>
        <v>0</v>
      </c>
      <c r="AQ256" s="18">
        <f t="shared" si="678"/>
        <v>0</v>
      </c>
      <c r="AR256" s="18">
        <f t="shared" si="678"/>
        <v>0</v>
      </c>
      <c r="AS256" s="18">
        <f t="shared" si="678"/>
        <v>0</v>
      </c>
      <c r="AT256" s="18">
        <f t="shared" si="678"/>
        <v>0</v>
      </c>
      <c r="AU256" s="18">
        <f t="shared" si="678"/>
        <v>0</v>
      </c>
      <c r="AV256" s="18">
        <f t="shared" si="678"/>
        <v>0</v>
      </c>
      <c r="AW256" s="18">
        <f t="shared" si="678"/>
        <v>0</v>
      </c>
      <c r="AX256" s="18">
        <f t="shared" si="678"/>
        <v>0</v>
      </c>
      <c r="AY256" s="18"/>
      <c r="AZ256" s="18">
        <f t="shared" ref="AZ256:CM256" si="679">SUM(AZ257:AZ269)</f>
        <v>1961467</v>
      </c>
      <c r="BA256" s="18">
        <f t="shared" si="679"/>
        <v>0</v>
      </c>
      <c r="BB256" s="18">
        <f t="shared" si="679"/>
        <v>0</v>
      </c>
      <c r="BC256" s="18">
        <f t="shared" si="679"/>
        <v>0</v>
      </c>
      <c r="BD256" s="18">
        <f t="shared" si="679"/>
        <v>0</v>
      </c>
      <c r="BE256" s="18">
        <f t="shared" si="679"/>
        <v>0</v>
      </c>
      <c r="BF256" s="18">
        <f t="shared" si="679"/>
        <v>0</v>
      </c>
      <c r="BG256" s="18">
        <f t="shared" si="679"/>
        <v>0</v>
      </c>
      <c r="BH256" s="18">
        <f t="shared" si="679"/>
        <v>0</v>
      </c>
      <c r="BI256" s="18">
        <f t="shared" si="679"/>
        <v>0</v>
      </c>
      <c r="BJ256" s="18">
        <f t="shared" si="679"/>
        <v>0</v>
      </c>
      <c r="BK256" s="18">
        <f t="shared" si="679"/>
        <v>0</v>
      </c>
      <c r="BL256" s="18">
        <f t="shared" si="679"/>
        <v>0</v>
      </c>
      <c r="BM256" s="18">
        <f t="shared" si="679"/>
        <v>0</v>
      </c>
      <c r="BN256" s="18">
        <f t="shared" si="679"/>
        <v>0</v>
      </c>
      <c r="BO256" s="18">
        <f t="shared" si="679"/>
        <v>0</v>
      </c>
      <c r="BP256" s="18">
        <f t="shared" si="679"/>
        <v>0</v>
      </c>
      <c r="BQ256" s="18">
        <f t="shared" si="679"/>
        <v>0</v>
      </c>
      <c r="BR256" s="18">
        <f t="shared" si="679"/>
        <v>0</v>
      </c>
      <c r="BS256" s="18">
        <f t="shared" si="679"/>
        <v>0</v>
      </c>
      <c r="BT256" s="18">
        <f t="shared" si="679"/>
        <v>0</v>
      </c>
      <c r="BU256" s="18">
        <f t="shared" si="679"/>
        <v>0</v>
      </c>
      <c r="BV256" s="18">
        <f t="shared" si="679"/>
        <v>0</v>
      </c>
      <c r="BW256" s="18">
        <f t="shared" si="679"/>
        <v>0</v>
      </c>
      <c r="BX256" s="18">
        <f t="shared" si="679"/>
        <v>0</v>
      </c>
      <c r="BY256" s="18">
        <f t="shared" si="679"/>
        <v>0</v>
      </c>
      <c r="BZ256" s="18">
        <f t="shared" si="679"/>
        <v>82173451</v>
      </c>
      <c r="CA256" s="18">
        <f t="shared" si="679"/>
        <v>0</v>
      </c>
      <c r="CB256" s="18">
        <f t="shared" si="679"/>
        <v>0</v>
      </c>
      <c r="CC256" s="18">
        <f t="shared" si="679"/>
        <v>0</v>
      </c>
      <c r="CD256" s="18">
        <f t="shared" si="679"/>
        <v>0</v>
      </c>
      <c r="CE256" s="18">
        <f t="shared" si="679"/>
        <v>0</v>
      </c>
      <c r="CF256" s="18">
        <f t="shared" si="679"/>
        <v>0</v>
      </c>
      <c r="CG256" s="18">
        <f t="shared" si="679"/>
        <v>0</v>
      </c>
      <c r="CH256" s="18">
        <f t="shared" si="679"/>
        <v>0</v>
      </c>
      <c r="CI256" s="18">
        <f t="shared" si="679"/>
        <v>0</v>
      </c>
      <c r="CJ256" s="18">
        <f t="shared" si="679"/>
        <v>0</v>
      </c>
      <c r="CK256" s="18">
        <f t="shared" si="679"/>
        <v>0</v>
      </c>
      <c r="CL256" s="18">
        <f t="shared" si="679"/>
        <v>0</v>
      </c>
      <c r="CM256" s="18">
        <f t="shared" si="679"/>
        <v>0</v>
      </c>
      <c r="CN256" s="18"/>
      <c r="CO256" s="38">
        <f>SUM(CO257:CO269)</f>
        <v>82173451</v>
      </c>
      <c r="CP256" s="74"/>
      <c r="CQ256" s="74"/>
      <c r="CR256" s="74"/>
      <c r="CS256" s="18">
        <f>SUM(CS257:CS269)</f>
        <v>0</v>
      </c>
      <c r="CT256" s="18">
        <f>SUM(CT257:CT269)</f>
        <v>0</v>
      </c>
      <c r="CU256" s="18">
        <f>SUM(CU257:CU269)</f>
        <v>0</v>
      </c>
      <c r="CV256" s="46">
        <f>SUM(CV257:CV269)</f>
        <v>0</v>
      </c>
      <c r="CW256" s="57"/>
    </row>
    <row r="257" spans="1:101" ht="21.6" customHeight="1" x14ac:dyDescent="0.3">
      <c r="A257" s="105" t="s">
        <v>1</v>
      </c>
      <c r="B257" s="21" t="s">
        <v>54</v>
      </c>
      <c r="C257" s="22" t="s">
        <v>473</v>
      </c>
      <c r="D257" s="19">
        <f t="shared" ref="D257:D269" si="680">SUM(E257+BZ257+CS257)</f>
        <v>573500</v>
      </c>
      <c r="E257" s="19">
        <f>SUM(F257+BA257)</f>
        <v>573500</v>
      </c>
      <c r="F257" s="19">
        <f t="shared" ref="F257" si="681">SUM(G257+H257+I257+P257+S257+T257+U257+AE257+AD257)</f>
        <v>573500</v>
      </c>
      <c r="G257" s="19">
        <v>0</v>
      </c>
      <c r="H257" s="19">
        <v>0</v>
      </c>
      <c r="I257" s="19">
        <f>SUM(J257:O257)</f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f>SUM(Q257:R257)</f>
        <v>0</v>
      </c>
      <c r="Q257" s="19">
        <v>0</v>
      </c>
      <c r="R257" s="19">
        <v>0</v>
      </c>
      <c r="S257" s="19">
        <v>0</v>
      </c>
      <c r="T257" s="19">
        <v>0</v>
      </c>
      <c r="U257" s="19">
        <f t="shared" ref="U257" si="682">SUM(V257:AC257)</f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19"/>
      <c r="AE257" s="19">
        <f>SUM(AF257:AZ257)</f>
        <v>573500</v>
      </c>
      <c r="AF257" s="19">
        <v>0</v>
      </c>
      <c r="AG257" s="19">
        <v>0</v>
      </c>
      <c r="AH257" s="19">
        <v>0</v>
      </c>
      <c r="AI257" s="19">
        <v>0</v>
      </c>
      <c r="AJ257" s="19">
        <v>0</v>
      </c>
      <c r="AK257" s="19">
        <v>0</v>
      </c>
      <c r="AL257" s="19">
        <v>0</v>
      </c>
      <c r="AM257" s="19">
        <v>0</v>
      </c>
      <c r="AN257" s="19">
        <v>0</v>
      </c>
      <c r="AO257" s="19">
        <v>0</v>
      </c>
      <c r="AP257" s="19">
        <v>0</v>
      </c>
      <c r="AQ257" s="19">
        <v>0</v>
      </c>
      <c r="AR257" s="19">
        <v>0</v>
      </c>
      <c r="AS257" s="19">
        <v>0</v>
      </c>
      <c r="AT257" s="19">
        <v>0</v>
      </c>
      <c r="AU257" s="19">
        <v>0</v>
      </c>
      <c r="AV257" s="19">
        <v>0</v>
      </c>
      <c r="AW257" s="19">
        <v>0</v>
      </c>
      <c r="AX257" s="19">
        <v>0</v>
      </c>
      <c r="AY257" s="19">
        <v>0</v>
      </c>
      <c r="AZ257" s="23">
        <f>467000+106500</f>
        <v>573500</v>
      </c>
      <c r="BA257" s="19">
        <f>SUM(BB257+BF257+BI257+BK257+BN257)</f>
        <v>0</v>
      </c>
      <c r="BB257" s="19">
        <f t="shared" ref="BB257" si="683">SUM(BC257:BE257)</f>
        <v>0</v>
      </c>
      <c r="BC257" s="19">
        <v>0</v>
      </c>
      <c r="BD257" s="19">
        <v>0</v>
      </c>
      <c r="BE257" s="19">
        <v>0</v>
      </c>
      <c r="BF257" s="19">
        <f t="shared" ref="BF257" si="684">SUM(BH257:BH257)</f>
        <v>0</v>
      </c>
      <c r="BG257" s="19">
        <v>0</v>
      </c>
      <c r="BH257" s="19">
        <v>0</v>
      </c>
      <c r="BI257" s="19">
        <v>0</v>
      </c>
      <c r="BJ257" s="19">
        <v>0</v>
      </c>
      <c r="BK257" s="19">
        <f>SUM(BL257)</f>
        <v>0</v>
      </c>
      <c r="BL257" s="19">
        <v>0</v>
      </c>
      <c r="BM257" s="19">
        <v>0</v>
      </c>
      <c r="BN257" s="19">
        <f t="shared" ref="BN257:BN269" si="685">SUM(BO257:BY257)</f>
        <v>0</v>
      </c>
      <c r="BO257" s="19">
        <v>0</v>
      </c>
      <c r="BP257" s="19">
        <v>0</v>
      </c>
      <c r="BQ257" s="19">
        <v>0</v>
      </c>
      <c r="BR257" s="19">
        <v>0</v>
      </c>
      <c r="BS257" s="19">
        <v>0</v>
      </c>
      <c r="BT257" s="19">
        <v>0</v>
      </c>
      <c r="BU257" s="19">
        <v>0</v>
      </c>
      <c r="BV257" s="19">
        <v>0</v>
      </c>
      <c r="BW257" s="19">
        <v>0</v>
      </c>
      <c r="BX257" s="19">
        <v>0</v>
      </c>
      <c r="BY257" s="19">
        <v>0</v>
      </c>
      <c r="BZ257" s="19">
        <f t="shared" ref="BZ257:BZ269" si="686">SUM(CA257+CO257)</f>
        <v>0</v>
      </c>
      <c r="CA257" s="19">
        <f>SUM(CB257+CE257+CK257)</f>
        <v>0</v>
      </c>
      <c r="CB257" s="19">
        <f>SUM(CC257:CD257)</f>
        <v>0</v>
      </c>
      <c r="CC257" s="19">
        <v>0</v>
      </c>
      <c r="CD257" s="19">
        <v>0</v>
      </c>
      <c r="CE257" s="19">
        <f t="shared" ref="CE257:CE269" si="687">SUM(CF257:CJ257)</f>
        <v>0</v>
      </c>
      <c r="CF257" s="19">
        <v>0</v>
      </c>
      <c r="CG257" s="19">
        <v>0</v>
      </c>
      <c r="CH257" s="19">
        <v>0</v>
      </c>
      <c r="CI257" s="19">
        <v>0</v>
      </c>
      <c r="CJ257" s="19">
        <v>0</v>
      </c>
      <c r="CK257" s="19">
        <f t="shared" ref="CK257:CK269" si="688">SUM(CL257:CN257)</f>
        <v>0</v>
      </c>
      <c r="CL257" s="19">
        <v>0</v>
      </c>
      <c r="CM257" s="19">
        <v>0</v>
      </c>
      <c r="CN257" s="19">
        <v>0</v>
      </c>
      <c r="CO257" s="39">
        <v>0</v>
      </c>
      <c r="CP257" s="75"/>
      <c r="CQ257" s="75"/>
      <c r="CR257" s="75"/>
      <c r="CS257" s="19">
        <f>SUM(CT257)</f>
        <v>0</v>
      </c>
      <c r="CT257" s="19">
        <f>SUM(CU257:CV257)</f>
        <v>0</v>
      </c>
      <c r="CU257" s="19">
        <v>0</v>
      </c>
      <c r="CV257" s="20">
        <v>0</v>
      </c>
      <c r="CW257" s="52"/>
    </row>
    <row r="258" spans="1:101" ht="46.8" x14ac:dyDescent="0.3">
      <c r="A258" s="105" t="s">
        <v>1</v>
      </c>
      <c r="B258" s="21" t="s">
        <v>54</v>
      </c>
      <c r="C258" s="22" t="s">
        <v>613</v>
      </c>
      <c r="D258" s="19">
        <f t="shared" si="680"/>
        <v>1073906</v>
      </c>
      <c r="E258" s="19">
        <f>SUM(F258+BA258)</f>
        <v>0</v>
      </c>
      <c r="F258" s="19">
        <f t="shared" ref="F258" si="689">SUM(G258+H258+I258+P258+S258+T258+U258+AE258+AD258)</f>
        <v>0</v>
      </c>
      <c r="G258" s="19">
        <v>0</v>
      </c>
      <c r="H258" s="19">
        <v>0</v>
      </c>
      <c r="I258" s="19">
        <f>SUM(J258:O258)</f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f>SUM(Q258:R258)</f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f t="shared" ref="U258" si="690">SUM(V258:AC258)</f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/>
      <c r="AE258" s="19">
        <f>SUM(AF258:AZ258)</f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v>0</v>
      </c>
      <c r="AV258" s="19">
        <v>0</v>
      </c>
      <c r="AW258" s="19">
        <v>0</v>
      </c>
      <c r="AX258" s="19">
        <v>0</v>
      </c>
      <c r="AY258" s="19">
        <v>0</v>
      </c>
      <c r="AZ258" s="23"/>
      <c r="BA258" s="19">
        <f>SUM(BB258+BF258+BI258+BK258+BN258)</f>
        <v>0</v>
      </c>
      <c r="BB258" s="19">
        <f t="shared" ref="BB258" si="691">SUM(BC258:BE258)</f>
        <v>0</v>
      </c>
      <c r="BC258" s="19">
        <v>0</v>
      </c>
      <c r="BD258" s="19">
        <v>0</v>
      </c>
      <c r="BE258" s="19">
        <v>0</v>
      </c>
      <c r="BF258" s="19">
        <f t="shared" ref="BF258" si="692">SUM(BH258:BH258)</f>
        <v>0</v>
      </c>
      <c r="BG258" s="19">
        <v>0</v>
      </c>
      <c r="BH258" s="19">
        <v>0</v>
      </c>
      <c r="BI258" s="19">
        <v>0</v>
      </c>
      <c r="BJ258" s="19">
        <v>0</v>
      </c>
      <c r="BK258" s="19">
        <f>SUM(BL258)</f>
        <v>0</v>
      </c>
      <c r="BL258" s="19">
        <v>0</v>
      </c>
      <c r="BM258" s="19">
        <v>0</v>
      </c>
      <c r="BN258" s="19">
        <f t="shared" ref="BN258" si="693">SUM(BO258:BY258)</f>
        <v>0</v>
      </c>
      <c r="BO258" s="19">
        <v>0</v>
      </c>
      <c r="BP258" s="19">
        <v>0</v>
      </c>
      <c r="BQ258" s="19">
        <v>0</v>
      </c>
      <c r="BR258" s="19">
        <v>0</v>
      </c>
      <c r="BS258" s="19">
        <v>0</v>
      </c>
      <c r="BT258" s="19">
        <v>0</v>
      </c>
      <c r="BU258" s="19">
        <v>0</v>
      </c>
      <c r="BV258" s="19">
        <v>0</v>
      </c>
      <c r="BW258" s="19">
        <v>0</v>
      </c>
      <c r="BX258" s="19">
        <v>0</v>
      </c>
      <c r="BY258" s="19">
        <v>0</v>
      </c>
      <c r="BZ258" s="19">
        <f t="shared" si="686"/>
        <v>1073906</v>
      </c>
      <c r="CA258" s="19">
        <f>SUM(CB258+CE258+CK258)</f>
        <v>0</v>
      </c>
      <c r="CB258" s="19">
        <f>SUM(CC258:CD258)</f>
        <v>0</v>
      </c>
      <c r="CC258" s="19">
        <v>0</v>
      </c>
      <c r="CD258" s="19">
        <v>0</v>
      </c>
      <c r="CE258" s="19">
        <f t="shared" ref="CE258" si="694">SUM(CF258:CJ258)</f>
        <v>0</v>
      </c>
      <c r="CF258" s="19">
        <v>0</v>
      </c>
      <c r="CG258" s="19">
        <v>0</v>
      </c>
      <c r="CH258" s="19">
        <v>0</v>
      </c>
      <c r="CI258" s="19">
        <v>0</v>
      </c>
      <c r="CJ258" s="19">
        <v>0</v>
      </c>
      <c r="CK258" s="19">
        <f t="shared" si="688"/>
        <v>0</v>
      </c>
      <c r="CL258" s="19">
        <v>0</v>
      </c>
      <c r="CM258" s="19">
        <v>0</v>
      </c>
      <c r="CN258" s="19">
        <v>0</v>
      </c>
      <c r="CO258" s="39">
        <f>0+1073906</f>
        <v>1073906</v>
      </c>
      <c r="CP258" s="75"/>
      <c r="CQ258" s="75"/>
      <c r="CR258" s="75"/>
      <c r="CS258" s="19">
        <f>SUM(CT258)</f>
        <v>0</v>
      </c>
      <c r="CT258" s="19">
        <f>SUM(CU258:CV258)</f>
        <v>0</v>
      </c>
      <c r="CU258" s="19">
        <v>0</v>
      </c>
      <c r="CV258" s="20">
        <v>0</v>
      </c>
      <c r="CW258" s="52"/>
    </row>
    <row r="259" spans="1:101" s="55" customFormat="1" ht="15.6" x14ac:dyDescent="0.3">
      <c r="A259" s="108" t="s">
        <v>1</v>
      </c>
      <c r="B259" s="36" t="s">
        <v>56</v>
      </c>
      <c r="C259" s="37" t="s">
        <v>533</v>
      </c>
      <c r="D259" s="39">
        <f t="shared" si="680"/>
        <v>17977950</v>
      </c>
      <c r="E259" s="39">
        <f>SUM(F259+BA259)</f>
        <v>0</v>
      </c>
      <c r="F259" s="39">
        <f t="shared" ref="F259:F269" si="695">SUM(G259+H259+I259+P259+S259+T259+U259+AE259+AD259)</f>
        <v>0</v>
      </c>
      <c r="G259" s="39">
        <v>0</v>
      </c>
      <c r="H259" s="39">
        <v>0</v>
      </c>
      <c r="I259" s="39">
        <f t="shared" si="584"/>
        <v>0</v>
      </c>
      <c r="J259" s="39">
        <v>0</v>
      </c>
      <c r="K259" s="39">
        <v>0</v>
      </c>
      <c r="L259" s="39">
        <v>0</v>
      </c>
      <c r="M259" s="39">
        <v>0</v>
      </c>
      <c r="N259" s="39">
        <v>0</v>
      </c>
      <c r="O259" s="39">
        <v>0</v>
      </c>
      <c r="P259" s="39">
        <f t="shared" si="585"/>
        <v>0</v>
      </c>
      <c r="Q259" s="39">
        <v>0</v>
      </c>
      <c r="R259" s="39">
        <v>0</v>
      </c>
      <c r="S259" s="39">
        <v>0</v>
      </c>
      <c r="T259" s="39">
        <v>0</v>
      </c>
      <c r="U259" s="39">
        <f t="shared" ref="U259:U269" si="696">SUM(V259:AC259)</f>
        <v>0</v>
      </c>
      <c r="V259" s="39">
        <v>0</v>
      </c>
      <c r="W259" s="39">
        <v>0</v>
      </c>
      <c r="X259" s="39">
        <v>0</v>
      </c>
      <c r="Y259" s="39">
        <v>0</v>
      </c>
      <c r="Z259" s="39">
        <v>0</v>
      </c>
      <c r="AA259" s="39">
        <v>0</v>
      </c>
      <c r="AB259" s="39">
        <v>0</v>
      </c>
      <c r="AC259" s="39">
        <v>0</v>
      </c>
      <c r="AD259" s="39">
        <v>0</v>
      </c>
      <c r="AE259" s="39">
        <f>SUM(AF259:AZ259)</f>
        <v>0</v>
      </c>
      <c r="AF259" s="39">
        <v>0</v>
      </c>
      <c r="AG259" s="39">
        <v>0</v>
      </c>
      <c r="AH259" s="39">
        <v>0</v>
      </c>
      <c r="AI259" s="39">
        <v>0</v>
      </c>
      <c r="AJ259" s="39">
        <v>0</v>
      </c>
      <c r="AK259" s="39">
        <v>0</v>
      </c>
      <c r="AL259" s="39">
        <v>0</v>
      </c>
      <c r="AM259" s="39">
        <v>0</v>
      </c>
      <c r="AN259" s="39">
        <v>0</v>
      </c>
      <c r="AO259" s="39">
        <v>0</v>
      </c>
      <c r="AP259" s="39">
        <v>0</v>
      </c>
      <c r="AQ259" s="39">
        <v>0</v>
      </c>
      <c r="AR259" s="39">
        <v>0</v>
      </c>
      <c r="AS259" s="39">
        <v>0</v>
      </c>
      <c r="AT259" s="39">
        <v>0</v>
      </c>
      <c r="AU259" s="39">
        <v>0</v>
      </c>
      <c r="AV259" s="39">
        <v>0</v>
      </c>
      <c r="AW259" s="39">
        <v>0</v>
      </c>
      <c r="AX259" s="39">
        <v>0</v>
      </c>
      <c r="AY259" s="39">
        <v>0</v>
      </c>
      <c r="AZ259" s="39">
        <v>0</v>
      </c>
      <c r="BA259" s="39">
        <f>SUM(BB259+BF259+BI259+BK259+BN259)</f>
        <v>0</v>
      </c>
      <c r="BB259" s="39">
        <f t="shared" ref="BB259:BB269" si="697">SUM(BC259:BE259)</f>
        <v>0</v>
      </c>
      <c r="BC259" s="39">
        <v>0</v>
      </c>
      <c r="BD259" s="39">
        <v>0</v>
      </c>
      <c r="BE259" s="39">
        <v>0</v>
      </c>
      <c r="BF259" s="39">
        <f>SUM(BH259:BH259)</f>
        <v>0</v>
      </c>
      <c r="BG259" s="39">
        <v>0</v>
      </c>
      <c r="BH259" s="39">
        <v>0</v>
      </c>
      <c r="BI259" s="39">
        <v>0</v>
      </c>
      <c r="BJ259" s="39">
        <v>0</v>
      </c>
      <c r="BK259" s="39">
        <f t="shared" si="587"/>
        <v>0</v>
      </c>
      <c r="BL259" s="39">
        <v>0</v>
      </c>
      <c r="BM259" s="39">
        <v>0</v>
      </c>
      <c r="BN259" s="39">
        <f t="shared" si="685"/>
        <v>0</v>
      </c>
      <c r="BO259" s="39">
        <v>0</v>
      </c>
      <c r="BP259" s="39">
        <v>0</v>
      </c>
      <c r="BQ259" s="39">
        <v>0</v>
      </c>
      <c r="BR259" s="39">
        <v>0</v>
      </c>
      <c r="BS259" s="39">
        <v>0</v>
      </c>
      <c r="BT259" s="39">
        <v>0</v>
      </c>
      <c r="BU259" s="39">
        <v>0</v>
      </c>
      <c r="BV259" s="39">
        <v>0</v>
      </c>
      <c r="BW259" s="39">
        <v>0</v>
      </c>
      <c r="BX259" s="39">
        <v>0</v>
      </c>
      <c r="BY259" s="39">
        <v>0</v>
      </c>
      <c r="BZ259" s="39">
        <f t="shared" si="686"/>
        <v>17977950</v>
      </c>
      <c r="CA259" s="39">
        <f>SUM(CB259+CE259+CK259)</f>
        <v>0</v>
      </c>
      <c r="CB259" s="39">
        <f t="shared" si="588"/>
        <v>0</v>
      </c>
      <c r="CC259" s="39">
        <v>0</v>
      </c>
      <c r="CD259" s="39">
        <v>0</v>
      </c>
      <c r="CE259" s="19">
        <f t="shared" si="687"/>
        <v>0</v>
      </c>
      <c r="CF259" s="39">
        <v>0</v>
      </c>
      <c r="CG259" s="39">
        <v>0</v>
      </c>
      <c r="CH259" s="39">
        <v>0</v>
      </c>
      <c r="CI259" s="39">
        <v>0</v>
      </c>
      <c r="CJ259" s="39">
        <v>0</v>
      </c>
      <c r="CK259" s="39">
        <f t="shared" si="688"/>
        <v>0</v>
      </c>
      <c r="CL259" s="39">
        <v>0</v>
      </c>
      <c r="CM259" s="39">
        <v>0</v>
      </c>
      <c r="CN259" s="39">
        <v>0</v>
      </c>
      <c r="CO259" s="35">
        <v>17977950</v>
      </c>
      <c r="CP259" s="76"/>
      <c r="CQ259" s="76"/>
      <c r="CR259" s="76"/>
      <c r="CS259" s="39">
        <f t="shared" si="589"/>
        <v>0</v>
      </c>
      <c r="CT259" s="39">
        <f t="shared" si="590"/>
        <v>0</v>
      </c>
      <c r="CU259" s="39">
        <v>0</v>
      </c>
      <c r="CV259" s="41">
        <v>0</v>
      </c>
      <c r="CW259" s="52"/>
    </row>
    <row r="260" spans="1:101" ht="31.2" x14ac:dyDescent="0.3">
      <c r="A260" s="108" t="s">
        <v>1</v>
      </c>
      <c r="B260" s="44" t="s">
        <v>56</v>
      </c>
      <c r="C260" s="45" t="s">
        <v>556</v>
      </c>
      <c r="D260" s="39">
        <f t="shared" si="680"/>
        <v>100000</v>
      </c>
      <c r="E260" s="39">
        <f>SUM(F260+BA260)</f>
        <v>0</v>
      </c>
      <c r="F260" s="39">
        <f t="shared" si="695"/>
        <v>0</v>
      </c>
      <c r="G260" s="39">
        <v>0</v>
      </c>
      <c r="H260" s="39">
        <v>0</v>
      </c>
      <c r="I260" s="39">
        <f>SUM(J260:O260)</f>
        <v>0</v>
      </c>
      <c r="J260" s="39">
        <v>0</v>
      </c>
      <c r="K260" s="39">
        <v>0</v>
      </c>
      <c r="L260" s="39">
        <v>0</v>
      </c>
      <c r="M260" s="39">
        <v>0</v>
      </c>
      <c r="N260" s="39">
        <v>0</v>
      </c>
      <c r="O260" s="39">
        <v>0</v>
      </c>
      <c r="P260" s="39">
        <f>SUM(Q260:R260)</f>
        <v>0</v>
      </c>
      <c r="Q260" s="39">
        <v>0</v>
      </c>
      <c r="R260" s="39">
        <v>0</v>
      </c>
      <c r="S260" s="39">
        <v>0</v>
      </c>
      <c r="T260" s="39">
        <v>0</v>
      </c>
      <c r="U260" s="39">
        <f t="shared" si="696"/>
        <v>0</v>
      </c>
      <c r="V260" s="39">
        <v>0</v>
      </c>
      <c r="W260" s="39">
        <v>0</v>
      </c>
      <c r="X260" s="39">
        <v>0</v>
      </c>
      <c r="Y260" s="39">
        <v>0</v>
      </c>
      <c r="Z260" s="39">
        <v>0</v>
      </c>
      <c r="AA260" s="39">
        <v>0</v>
      </c>
      <c r="AB260" s="39">
        <v>0</v>
      </c>
      <c r="AC260" s="39">
        <v>0</v>
      </c>
      <c r="AD260" s="39">
        <v>0</v>
      </c>
      <c r="AE260" s="39">
        <f>SUM(AF260:AZ260)</f>
        <v>0</v>
      </c>
      <c r="AF260" s="39"/>
      <c r="AG260" s="39"/>
      <c r="AH260" s="39">
        <v>0</v>
      </c>
      <c r="AI260" s="39">
        <v>0</v>
      </c>
      <c r="AJ260" s="39">
        <v>0</v>
      </c>
      <c r="AK260" s="39">
        <v>0</v>
      </c>
      <c r="AL260" s="39">
        <v>0</v>
      </c>
      <c r="AM260" s="39">
        <v>0</v>
      </c>
      <c r="AN260" s="39">
        <v>0</v>
      </c>
      <c r="AO260" s="39">
        <v>0</v>
      </c>
      <c r="AP260" s="39">
        <v>0</v>
      </c>
      <c r="AQ260" s="39">
        <v>0</v>
      </c>
      <c r="AR260" s="39">
        <v>0</v>
      </c>
      <c r="AS260" s="39">
        <v>0</v>
      </c>
      <c r="AT260" s="39">
        <v>0</v>
      </c>
      <c r="AU260" s="39">
        <v>0</v>
      </c>
      <c r="AV260" s="39">
        <v>0</v>
      </c>
      <c r="AW260" s="39">
        <v>0</v>
      </c>
      <c r="AX260" s="39">
        <v>0</v>
      </c>
      <c r="AY260" s="39">
        <v>0</v>
      </c>
      <c r="AZ260" s="39">
        <v>0</v>
      </c>
      <c r="BA260" s="39">
        <f>SUM(BB260+BF260+BI260+BK260+BN260)</f>
        <v>0</v>
      </c>
      <c r="BB260" s="39">
        <f t="shared" si="697"/>
        <v>0</v>
      </c>
      <c r="BC260" s="39">
        <v>0</v>
      </c>
      <c r="BD260" s="39">
        <v>0</v>
      </c>
      <c r="BE260" s="39">
        <v>0</v>
      </c>
      <c r="BF260" s="39">
        <f>SUM(BH260:BH260)</f>
        <v>0</v>
      </c>
      <c r="BG260" s="39">
        <v>0</v>
      </c>
      <c r="BH260" s="39">
        <v>0</v>
      </c>
      <c r="BI260" s="39">
        <v>0</v>
      </c>
      <c r="BJ260" s="39">
        <v>0</v>
      </c>
      <c r="BK260" s="39">
        <f>SUM(BL260)</f>
        <v>0</v>
      </c>
      <c r="BL260" s="39">
        <v>0</v>
      </c>
      <c r="BM260" s="39">
        <v>0</v>
      </c>
      <c r="BN260" s="39">
        <f t="shared" si="685"/>
        <v>0</v>
      </c>
      <c r="BO260" s="39">
        <v>0</v>
      </c>
      <c r="BP260" s="39">
        <v>0</v>
      </c>
      <c r="BQ260" s="39">
        <v>0</v>
      </c>
      <c r="BR260" s="39">
        <v>0</v>
      </c>
      <c r="BS260" s="39">
        <v>0</v>
      </c>
      <c r="BT260" s="39">
        <v>0</v>
      </c>
      <c r="BU260" s="39">
        <v>0</v>
      </c>
      <c r="BV260" s="39">
        <v>0</v>
      </c>
      <c r="BW260" s="39">
        <v>0</v>
      </c>
      <c r="BX260" s="39">
        <v>0</v>
      </c>
      <c r="BY260" s="39">
        <v>0</v>
      </c>
      <c r="BZ260" s="39">
        <f t="shared" si="686"/>
        <v>100000</v>
      </c>
      <c r="CA260" s="39">
        <f>SUM(CB260+CE260+CK260)</f>
        <v>0</v>
      </c>
      <c r="CB260" s="39">
        <f>SUM(CC260:CD260)</f>
        <v>0</v>
      </c>
      <c r="CC260" s="39">
        <v>0</v>
      </c>
      <c r="CD260" s="39">
        <v>0</v>
      </c>
      <c r="CE260" s="19">
        <f t="shared" si="687"/>
        <v>0</v>
      </c>
      <c r="CF260" s="39">
        <v>0</v>
      </c>
      <c r="CG260" s="39">
        <v>0</v>
      </c>
      <c r="CH260" s="39">
        <v>0</v>
      </c>
      <c r="CI260" s="39">
        <v>0</v>
      </c>
      <c r="CJ260" s="39">
        <v>0</v>
      </c>
      <c r="CK260" s="39">
        <f t="shared" si="688"/>
        <v>0</v>
      </c>
      <c r="CL260" s="39">
        <v>0</v>
      </c>
      <c r="CM260" s="39">
        <v>0</v>
      </c>
      <c r="CN260" s="39">
        <v>0</v>
      </c>
      <c r="CO260" s="35">
        <v>100000</v>
      </c>
      <c r="CP260" s="76"/>
      <c r="CQ260" s="76"/>
      <c r="CR260" s="76"/>
      <c r="CS260" s="39">
        <f>SUM(CT260)</f>
        <v>0</v>
      </c>
      <c r="CT260" s="39">
        <f>SUM(CU260:CV260)</f>
        <v>0</v>
      </c>
      <c r="CU260" s="39">
        <v>0</v>
      </c>
      <c r="CV260" s="41">
        <v>0</v>
      </c>
      <c r="CW260" s="52"/>
    </row>
    <row r="261" spans="1:101" ht="31.2" x14ac:dyDescent="0.3">
      <c r="A261" s="108"/>
      <c r="B261" s="42" t="s">
        <v>58</v>
      </c>
      <c r="C261" s="43" t="s">
        <v>557</v>
      </c>
      <c r="D261" s="39">
        <f t="shared" si="680"/>
        <v>2306844</v>
      </c>
      <c r="E261" s="39">
        <f>SUM(F261+BA261)</f>
        <v>0</v>
      </c>
      <c r="F261" s="39">
        <f>SUM(G261+H261+I261+P261+S261+T261+U261+AE261+AD261)</f>
        <v>0</v>
      </c>
      <c r="G261" s="39">
        <v>0</v>
      </c>
      <c r="H261" s="39">
        <v>0</v>
      </c>
      <c r="I261" s="39">
        <f t="shared" ref="I261" si="698">SUM(J261:O261)</f>
        <v>0</v>
      </c>
      <c r="J261" s="39">
        <v>0</v>
      </c>
      <c r="K261" s="39">
        <v>0</v>
      </c>
      <c r="L261" s="39">
        <v>0</v>
      </c>
      <c r="M261" s="39">
        <v>0</v>
      </c>
      <c r="N261" s="39">
        <v>0</v>
      </c>
      <c r="O261" s="39">
        <v>0</v>
      </c>
      <c r="P261" s="39">
        <f t="shared" ref="P261" si="699">SUM(Q261:R261)</f>
        <v>0</v>
      </c>
      <c r="Q261" s="39">
        <v>0</v>
      </c>
      <c r="R261" s="39">
        <v>0</v>
      </c>
      <c r="S261" s="39">
        <v>0</v>
      </c>
      <c r="T261" s="39">
        <v>0</v>
      </c>
      <c r="U261" s="39">
        <f>SUM(V261:AC261)</f>
        <v>0</v>
      </c>
      <c r="V261" s="39">
        <v>0</v>
      </c>
      <c r="W261" s="39">
        <v>0</v>
      </c>
      <c r="X261" s="39">
        <v>0</v>
      </c>
      <c r="Y261" s="39">
        <v>0</v>
      </c>
      <c r="Z261" s="39">
        <v>0</v>
      </c>
      <c r="AA261" s="39">
        <v>0</v>
      </c>
      <c r="AB261" s="39">
        <v>0</v>
      </c>
      <c r="AC261" s="39">
        <v>0</v>
      </c>
      <c r="AD261" s="39">
        <v>0</v>
      </c>
      <c r="AE261" s="39">
        <f>SUM(AF261:AZ261)</f>
        <v>0</v>
      </c>
      <c r="AF261" s="40"/>
      <c r="AG261" s="40"/>
      <c r="AH261" s="39">
        <v>0</v>
      </c>
      <c r="AI261" s="39">
        <v>0</v>
      </c>
      <c r="AJ261" s="39">
        <v>0</v>
      </c>
      <c r="AK261" s="39">
        <v>0</v>
      </c>
      <c r="AL261" s="39">
        <v>0</v>
      </c>
      <c r="AM261" s="39">
        <v>0</v>
      </c>
      <c r="AN261" s="39">
        <v>0</v>
      </c>
      <c r="AO261" s="39">
        <v>0</v>
      </c>
      <c r="AP261" s="39">
        <v>0</v>
      </c>
      <c r="AQ261" s="39">
        <v>0</v>
      </c>
      <c r="AR261" s="39">
        <v>0</v>
      </c>
      <c r="AS261" s="39">
        <v>0</v>
      </c>
      <c r="AT261" s="39">
        <v>0</v>
      </c>
      <c r="AU261" s="39">
        <v>0</v>
      </c>
      <c r="AV261" s="39">
        <v>0</v>
      </c>
      <c r="AW261" s="39">
        <v>0</v>
      </c>
      <c r="AX261" s="39">
        <v>0</v>
      </c>
      <c r="AY261" s="39">
        <v>0</v>
      </c>
      <c r="AZ261" s="39">
        <v>0</v>
      </c>
      <c r="BA261" s="39">
        <f>SUM(BB261+BF261+BI261+BK261+BN261)</f>
        <v>0</v>
      </c>
      <c r="BB261" s="39">
        <f>SUM(BC261:BE261)</f>
        <v>0</v>
      </c>
      <c r="BC261" s="39">
        <v>0</v>
      </c>
      <c r="BD261" s="39">
        <v>0</v>
      </c>
      <c r="BE261" s="39">
        <v>0</v>
      </c>
      <c r="BF261" s="39">
        <f>SUM(BH261:BH261)</f>
        <v>0</v>
      </c>
      <c r="BG261" s="39">
        <v>0</v>
      </c>
      <c r="BH261" s="39">
        <v>0</v>
      </c>
      <c r="BI261" s="39">
        <v>0</v>
      </c>
      <c r="BJ261" s="39">
        <v>0</v>
      </c>
      <c r="BK261" s="39">
        <f t="shared" ref="BK261" si="700">SUM(BL261)</f>
        <v>0</v>
      </c>
      <c r="BL261" s="39">
        <v>0</v>
      </c>
      <c r="BM261" s="39">
        <v>0</v>
      </c>
      <c r="BN261" s="39">
        <f>SUM(BO261:BY261)</f>
        <v>0</v>
      </c>
      <c r="BO261" s="39">
        <v>0</v>
      </c>
      <c r="BP261" s="39">
        <v>0</v>
      </c>
      <c r="BQ261" s="39">
        <v>0</v>
      </c>
      <c r="BR261" s="39">
        <v>0</v>
      </c>
      <c r="BS261" s="39">
        <v>0</v>
      </c>
      <c r="BT261" s="39">
        <v>0</v>
      </c>
      <c r="BU261" s="39">
        <v>0</v>
      </c>
      <c r="BV261" s="39">
        <v>0</v>
      </c>
      <c r="BW261" s="39">
        <v>0</v>
      </c>
      <c r="BX261" s="39">
        <v>0</v>
      </c>
      <c r="BY261" s="39">
        <v>0</v>
      </c>
      <c r="BZ261" s="39">
        <f t="shared" si="686"/>
        <v>2306844</v>
      </c>
      <c r="CA261" s="39">
        <f>SUM(CB261+CE261+CK261)</f>
        <v>0</v>
      </c>
      <c r="CB261" s="39">
        <f t="shared" ref="CB261" si="701">SUM(CC261:CD261)</f>
        <v>0</v>
      </c>
      <c r="CC261" s="39">
        <v>0</v>
      </c>
      <c r="CD261" s="39">
        <v>0</v>
      </c>
      <c r="CE261" s="19">
        <f>SUM(CF261:CJ261)</f>
        <v>0</v>
      </c>
      <c r="CF261" s="39">
        <v>0</v>
      </c>
      <c r="CG261" s="39">
        <v>0</v>
      </c>
      <c r="CH261" s="39">
        <v>0</v>
      </c>
      <c r="CI261" s="39">
        <v>0</v>
      </c>
      <c r="CJ261" s="39">
        <v>0</v>
      </c>
      <c r="CK261" s="39">
        <f t="shared" si="688"/>
        <v>0</v>
      </c>
      <c r="CL261" s="39">
        <v>0</v>
      </c>
      <c r="CM261" s="39">
        <v>0</v>
      </c>
      <c r="CN261" s="39">
        <v>0</v>
      </c>
      <c r="CO261" s="35">
        <v>2306844</v>
      </c>
      <c r="CP261" s="76"/>
      <c r="CQ261" s="76"/>
      <c r="CR261" s="76"/>
      <c r="CS261" s="39">
        <f t="shared" ref="CS261" si="702">SUM(CT261)</f>
        <v>0</v>
      </c>
      <c r="CT261" s="39">
        <f t="shared" ref="CT261" si="703">SUM(CU261:CV261)</f>
        <v>0</v>
      </c>
      <c r="CU261" s="39">
        <v>0</v>
      </c>
      <c r="CV261" s="41">
        <v>0</v>
      </c>
      <c r="CW261" s="52"/>
    </row>
    <row r="262" spans="1:101" ht="15.6" x14ac:dyDescent="0.3">
      <c r="A262" s="108" t="s">
        <v>1</v>
      </c>
      <c r="B262" s="36" t="s">
        <v>58</v>
      </c>
      <c r="C262" s="37" t="s">
        <v>476</v>
      </c>
      <c r="D262" s="39">
        <f t="shared" si="680"/>
        <v>29640283</v>
      </c>
      <c r="E262" s="39">
        <f t="shared" ref="E262:E269" si="704">SUM(F262+BA262)</f>
        <v>0</v>
      </c>
      <c r="F262" s="39">
        <f t="shared" ref="F262:F267" si="705">SUM(G262+H262+I262+P262+S262+T262+U262+AE262+AD262)</f>
        <v>0</v>
      </c>
      <c r="G262" s="39">
        <v>0</v>
      </c>
      <c r="H262" s="39">
        <v>0</v>
      </c>
      <c r="I262" s="39">
        <f>SUM(J262:O262)</f>
        <v>0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0</v>
      </c>
      <c r="P262" s="39">
        <f>SUM(Q262:R262)</f>
        <v>0</v>
      </c>
      <c r="Q262" s="39">
        <v>0</v>
      </c>
      <c r="R262" s="39">
        <v>0</v>
      </c>
      <c r="S262" s="39">
        <v>0</v>
      </c>
      <c r="T262" s="39">
        <v>0</v>
      </c>
      <c r="U262" s="39">
        <f t="shared" ref="U262:U267" si="706">SUM(V262:AC262)</f>
        <v>0</v>
      </c>
      <c r="V262" s="39">
        <v>0</v>
      </c>
      <c r="W262" s="39">
        <v>0</v>
      </c>
      <c r="X262" s="39">
        <v>0</v>
      </c>
      <c r="Y262" s="39">
        <v>0</v>
      </c>
      <c r="Z262" s="39">
        <v>0</v>
      </c>
      <c r="AA262" s="39">
        <v>0</v>
      </c>
      <c r="AB262" s="39">
        <v>0</v>
      </c>
      <c r="AC262" s="39">
        <v>0</v>
      </c>
      <c r="AD262" s="39">
        <v>0</v>
      </c>
      <c r="AE262" s="39">
        <f t="shared" ref="AE262:AE269" si="707">SUM(AF262:AZ262)</f>
        <v>0</v>
      </c>
      <c r="AF262" s="39"/>
      <c r="AG262" s="39"/>
      <c r="AH262" s="39">
        <v>0</v>
      </c>
      <c r="AI262" s="39">
        <v>0</v>
      </c>
      <c r="AJ262" s="39">
        <v>0</v>
      </c>
      <c r="AK262" s="39">
        <v>0</v>
      </c>
      <c r="AL262" s="39">
        <v>0</v>
      </c>
      <c r="AM262" s="39">
        <v>0</v>
      </c>
      <c r="AN262" s="39">
        <v>0</v>
      </c>
      <c r="AO262" s="39">
        <v>0</v>
      </c>
      <c r="AP262" s="39">
        <v>0</v>
      </c>
      <c r="AQ262" s="39">
        <v>0</v>
      </c>
      <c r="AR262" s="39">
        <v>0</v>
      </c>
      <c r="AS262" s="39">
        <v>0</v>
      </c>
      <c r="AT262" s="39">
        <v>0</v>
      </c>
      <c r="AU262" s="39">
        <v>0</v>
      </c>
      <c r="AV262" s="39">
        <v>0</v>
      </c>
      <c r="AW262" s="39">
        <v>0</v>
      </c>
      <c r="AX262" s="39">
        <v>0</v>
      </c>
      <c r="AY262" s="39">
        <v>0</v>
      </c>
      <c r="AZ262" s="39">
        <v>0</v>
      </c>
      <c r="BA262" s="39">
        <f t="shared" ref="BA262:BA269" si="708">SUM(BB262+BF262+BI262+BK262+BN262)</f>
        <v>0</v>
      </c>
      <c r="BB262" s="39">
        <f t="shared" ref="BB262:BB267" si="709">SUM(BC262:BE262)</f>
        <v>0</v>
      </c>
      <c r="BC262" s="39">
        <v>0</v>
      </c>
      <c r="BD262" s="39">
        <v>0</v>
      </c>
      <c r="BE262" s="39">
        <v>0</v>
      </c>
      <c r="BF262" s="39">
        <f t="shared" ref="BF262:BF267" si="710">SUM(BH262:BH262)</f>
        <v>0</v>
      </c>
      <c r="BG262" s="39">
        <v>0</v>
      </c>
      <c r="BH262" s="39">
        <v>0</v>
      </c>
      <c r="BI262" s="39">
        <v>0</v>
      </c>
      <c r="BJ262" s="39">
        <v>0</v>
      </c>
      <c r="BK262" s="39">
        <f>SUM(BL262)</f>
        <v>0</v>
      </c>
      <c r="BL262" s="39">
        <v>0</v>
      </c>
      <c r="BM262" s="39">
        <v>0</v>
      </c>
      <c r="BN262" s="39">
        <f t="shared" ref="BN262:BN267" si="711">SUM(BO262:BY262)</f>
        <v>0</v>
      </c>
      <c r="BO262" s="39">
        <v>0</v>
      </c>
      <c r="BP262" s="39">
        <v>0</v>
      </c>
      <c r="BQ262" s="39">
        <v>0</v>
      </c>
      <c r="BR262" s="39">
        <v>0</v>
      </c>
      <c r="BS262" s="39">
        <v>0</v>
      </c>
      <c r="BT262" s="39">
        <v>0</v>
      </c>
      <c r="BU262" s="39">
        <v>0</v>
      </c>
      <c r="BV262" s="39">
        <v>0</v>
      </c>
      <c r="BW262" s="39">
        <v>0</v>
      </c>
      <c r="BX262" s="39">
        <v>0</v>
      </c>
      <c r="BY262" s="39">
        <v>0</v>
      </c>
      <c r="BZ262" s="39">
        <f t="shared" si="686"/>
        <v>29640283</v>
      </c>
      <c r="CA262" s="39">
        <f t="shared" ref="CA262:CA269" si="712">SUM(CB262+CE262+CK262)</f>
        <v>0</v>
      </c>
      <c r="CB262" s="39">
        <f>SUM(CC262:CD262)</f>
        <v>0</v>
      </c>
      <c r="CC262" s="39">
        <v>0</v>
      </c>
      <c r="CD262" s="39">
        <v>0</v>
      </c>
      <c r="CE262" s="19">
        <f t="shared" si="687"/>
        <v>0</v>
      </c>
      <c r="CF262" s="39">
        <v>0</v>
      </c>
      <c r="CG262" s="39">
        <v>0</v>
      </c>
      <c r="CH262" s="39">
        <v>0</v>
      </c>
      <c r="CI262" s="39">
        <v>0</v>
      </c>
      <c r="CJ262" s="39">
        <v>0</v>
      </c>
      <c r="CK262" s="39">
        <f t="shared" si="688"/>
        <v>0</v>
      </c>
      <c r="CL262" s="39">
        <v>0</v>
      </c>
      <c r="CM262" s="39">
        <v>0</v>
      </c>
      <c r="CN262" s="39">
        <v>0</v>
      </c>
      <c r="CO262" s="35">
        <v>29640283</v>
      </c>
      <c r="CP262" s="76"/>
      <c r="CQ262" s="76"/>
      <c r="CR262" s="76"/>
      <c r="CS262" s="39">
        <f>SUM(CT262)</f>
        <v>0</v>
      </c>
      <c r="CT262" s="39">
        <f>SUM(CU262:CV262)</f>
        <v>0</v>
      </c>
      <c r="CU262" s="39">
        <v>0</v>
      </c>
      <c r="CV262" s="41">
        <v>0</v>
      </c>
      <c r="CW262" s="52"/>
    </row>
    <row r="263" spans="1:101" ht="15.6" x14ac:dyDescent="0.3">
      <c r="A263" s="108" t="s">
        <v>1</v>
      </c>
      <c r="B263" s="36" t="s">
        <v>58</v>
      </c>
      <c r="C263" s="37" t="s">
        <v>475</v>
      </c>
      <c r="D263" s="39">
        <f t="shared" si="680"/>
        <v>4119181</v>
      </c>
      <c r="E263" s="39">
        <f>SUM(F263+BA263)</f>
        <v>0</v>
      </c>
      <c r="F263" s="39">
        <f>SUM(G263+H263+I263+P263+S263+T263+U263+AE263+AD263)</f>
        <v>0</v>
      </c>
      <c r="G263" s="39">
        <v>0</v>
      </c>
      <c r="H263" s="39">
        <v>0</v>
      </c>
      <c r="I263" s="39">
        <f>SUM(J263:O263)</f>
        <v>0</v>
      </c>
      <c r="J263" s="39">
        <v>0</v>
      </c>
      <c r="K263" s="39">
        <v>0</v>
      </c>
      <c r="L263" s="39">
        <v>0</v>
      </c>
      <c r="M263" s="39">
        <v>0</v>
      </c>
      <c r="N263" s="39">
        <v>0</v>
      </c>
      <c r="O263" s="39">
        <v>0</v>
      </c>
      <c r="P263" s="39">
        <f>SUM(Q263:R263)</f>
        <v>0</v>
      </c>
      <c r="Q263" s="39">
        <v>0</v>
      </c>
      <c r="R263" s="39">
        <v>0</v>
      </c>
      <c r="S263" s="39">
        <v>0</v>
      </c>
      <c r="T263" s="39">
        <v>0</v>
      </c>
      <c r="U263" s="39">
        <f>SUM(V263:AC263)</f>
        <v>0</v>
      </c>
      <c r="V263" s="39">
        <v>0</v>
      </c>
      <c r="W263" s="39">
        <v>0</v>
      </c>
      <c r="X263" s="39">
        <v>0</v>
      </c>
      <c r="Y263" s="39">
        <v>0</v>
      </c>
      <c r="Z263" s="39">
        <v>0</v>
      </c>
      <c r="AA263" s="39">
        <v>0</v>
      </c>
      <c r="AB263" s="39">
        <v>0</v>
      </c>
      <c r="AC263" s="39">
        <v>0</v>
      </c>
      <c r="AD263" s="39">
        <v>0</v>
      </c>
      <c r="AE263" s="39">
        <f>SUM(AF263:AZ263)</f>
        <v>0</v>
      </c>
      <c r="AF263" s="39"/>
      <c r="AG263" s="39"/>
      <c r="AH263" s="39">
        <v>0</v>
      </c>
      <c r="AI263" s="39">
        <v>0</v>
      </c>
      <c r="AJ263" s="39">
        <v>0</v>
      </c>
      <c r="AK263" s="39">
        <v>0</v>
      </c>
      <c r="AL263" s="39">
        <v>0</v>
      </c>
      <c r="AM263" s="39">
        <v>0</v>
      </c>
      <c r="AN263" s="39">
        <v>0</v>
      </c>
      <c r="AO263" s="39">
        <v>0</v>
      </c>
      <c r="AP263" s="39">
        <v>0</v>
      </c>
      <c r="AQ263" s="39">
        <v>0</v>
      </c>
      <c r="AR263" s="39">
        <v>0</v>
      </c>
      <c r="AS263" s="39">
        <v>0</v>
      </c>
      <c r="AT263" s="39">
        <v>0</v>
      </c>
      <c r="AU263" s="39">
        <v>0</v>
      </c>
      <c r="AV263" s="39">
        <v>0</v>
      </c>
      <c r="AW263" s="39">
        <v>0</v>
      </c>
      <c r="AX263" s="39">
        <v>0</v>
      </c>
      <c r="AY263" s="39">
        <v>0</v>
      </c>
      <c r="AZ263" s="39">
        <v>0</v>
      </c>
      <c r="BA263" s="39">
        <f>SUM(BB263+BF263+BI263+BK263+BN263)</f>
        <v>0</v>
      </c>
      <c r="BB263" s="39">
        <f>SUM(BC263:BE263)</f>
        <v>0</v>
      </c>
      <c r="BC263" s="39">
        <v>0</v>
      </c>
      <c r="BD263" s="39">
        <v>0</v>
      </c>
      <c r="BE263" s="39">
        <v>0</v>
      </c>
      <c r="BF263" s="39">
        <f>SUM(BH263:BH263)</f>
        <v>0</v>
      </c>
      <c r="BG263" s="39">
        <v>0</v>
      </c>
      <c r="BH263" s="39">
        <v>0</v>
      </c>
      <c r="BI263" s="39">
        <v>0</v>
      </c>
      <c r="BJ263" s="39">
        <v>0</v>
      </c>
      <c r="BK263" s="39">
        <f>SUM(BL263)</f>
        <v>0</v>
      </c>
      <c r="BL263" s="39">
        <v>0</v>
      </c>
      <c r="BM263" s="39">
        <v>0</v>
      </c>
      <c r="BN263" s="39">
        <f>SUM(BO263:BY263)</f>
        <v>0</v>
      </c>
      <c r="BO263" s="39">
        <v>0</v>
      </c>
      <c r="BP263" s="39">
        <v>0</v>
      </c>
      <c r="BQ263" s="39">
        <v>0</v>
      </c>
      <c r="BR263" s="39">
        <v>0</v>
      </c>
      <c r="BS263" s="39">
        <v>0</v>
      </c>
      <c r="BT263" s="39">
        <v>0</v>
      </c>
      <c r="BU263" s="39">
        <v>0</v>
      </c>
      <c r="BV263" s="39">
        <v>0</v>
      </c>
      <c r="BW263" s="39">
        <v>0</v>
      </c>
      <c r="BX263" s="39">
        <v>0</v>
      </c>
      <c r="BY263" s="39">
        <v>0</v>
      </c>
      <c r="BZ263" s="39">
        <f t="shared" si="686"/>
        <v>4119181</v>
      </c>
      <c r="CA263" s="39">
        <f>SUM(CB263+CE263+CK263)</f>
        <v>0</v>
      </c>
      <c r="CB263" s="39">
        <f>SUM(CC263:CD263)</f>
        <v>0</v>
      </c>
      <c r="CC263" s="39">
        <v>0</v>
      </c>
      <c r="CD263" s="39">
        <v>0</v>
      </c>
      <c r="CE263" s="19">
        <f>SUM(CF263:CJ263)</f>
        <v>0</v>
      </c>
      <c r="CF263" s="39">
        <v>0</v>
      </c>
      <c r="CG263" s="39">
        <v>0</v>
      </c>
      <c r="CH263" s="39">
        <v>0</v>
      </c>
      <c r="CI263" s="39">
        <v>0</v>
      </c>
      <c r="CJ263" s="39">
        <v>0</v>
      </c>
      <c r="CK263" s="39">
        <f t="shared" si="688"/>
        <v>0</v>
      </c>
      <c r="CL263" s="39">
        <v>0</v>
      </c>
      <c r="CM263" s="39">
        <v>0</v>
      </c>
      <c r="CN263" s="39">
        <v>0</v>
      </c>
      <c r="CO263" s="35">
        <v>4119181</v>
      </c>
      <c r="CP263" s="76"/>
      <c r="CQ263" s="76"/>
      <c r="CR263" s="76"/>
      <c r="CS263" s="39">
        <f>SUM(CT263)</f>
        <v>0</v>
      </c>
      <c r="CT263" s="39">
        <f>SUM(CU263:CV263)</f>
        <v>0</v>
      </c>
      <c r="CU263" s="39">
        <v>0</v>
      </c>
      <c r="CV263" s="41">
        <v>0</v>
      </c>
      <c r="CW263" s="52"/>
    </row>
    <row r="264" spans="1:101" ht="15.6" x14ac:dyDescent="0.3">
      <c r="A264" s="108" t="s">
        <v>1</v>
      </c>
      <c r="B264" s="36" t="s">
        <v>58</v>
      </c>
      <c r="C264" s="37" t="s">
        <v>293</v>
      </c>
      <c r="D264" s="39">
        <f t="shared" si="680"/>
        <v>2965065</v>
      </c>
      <c r="E264" s="39">
        <f t="shared" si="704"/>
        <v>0</v>
      </c>
      <c r="F264" s="39">
        <f t="shared" si="705"/>
        <v>0</v>
      </c>
      <c r="G264" s="39">
        <v>0</v>
      </c>
      <c r="H264" s="39">
        <v>0</v>
      </c>
      <c r="I264" s="39">
        <f t="shared" ref="I264:I267" si="713">SUM(J264:O264)</f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9">
        <f t="shared" ref="P264:P267" si="714">SUM(Q264:R264)</f>
        <v>0</v>
      </c>
      <c r="Q264" s="39">
        <v>0</v>
      </c>
      <c r="R264" s="39">
        <v>0</v>
      </c>
      <c r="S264" s="39">
        <v>0</v>
      </c>
      <c r="T264" s="39">
        <v>0</v>
      </c>
      <c r="U264" s="39">
        <f t="shared" si="706"/>
        <v>0</v>
      </c>
      <c r="V264" s="39">
        <v>0</v>
      </c>
      <c r="W264" s="39">
        <v>0</v>
      </c>
      <c r="X264" s="39">
        <v>0</v>
      </c>
      <c r="Y264" s="39">
        <v>0</v>
      </c>
      <c r="Z264" s="39">
        <v>0</v>
      </c>
      <c r="AA264" s="39">
        <v>0</v>
      </c>
      <c r="AB264" s="39">
        <v>0</v>
      </c>
      <c r="AC264" s="39">
        <v>0</v>
      </c>
      <c r="AD264" s="39">
        <v>0</v>
      </c>
      <c r="AE264" s="39">
        <f t="shared" si="707"/>
        <v>0</v>
      </c>
      <c r="AF264" s="39"/>
      <c r="AG264" s="39"/>
      <c r="AH264" s="39">
        <v>0</v>
      </c>
      <c r="AI264" s="39">
        <v>0</v>
      </c>
      <c r="AJ264" s="39">
        <v>0</v>
      </c>
      <c r="AK264" s="39">
        <v>0</v>
      </c>
      <c r="AL264" s="39">
        <v>0</v>
      </c>
      <c r="AM264" s="39">
        <v>0</v>
      </c>
      <c r="AN264" s="39">
        <v>0</v>
      </c>
      <c r="AO264" s="39">
        <v>0</v>
      </c>
      <c r="AP264" s="39">
        <v>0</v>
      </c>
      <c r="AQ264" s="39">
        <v>0</v>
      </c>
      <c r="AR264" s="39">
        <v>0</v>
      </c>
      <c r="AS264" s="39">
        <v>0</v>
      </c>
      <c r="AT264" s="39">
        <v>0</v>
      </c>
      <c r="AU264" s="39">
        <v>0</v>
      </c>
      <c r="AV264" s="39">
        <v>0</v>
      </c>
      <c r="AW264" s="39">
        <v>0</v>
      </c>
      <c r="AX264" s="39">
        <v>0</v>
      </c>
      <c r="AY264" s="39">
        <v>0</v>
      </c>
      <c r="AZ264" s="39">
        <v>0</v>
      </c>
      <c r="BA264" s="39">
        <f t="shared" si="708"/>
        <v>0</v>
      </c>
      <c r="BB264" s="39">
        <f t="shared" si="709"/>
        <v>0</v>
      </c>
      <c r="BC264" s="39">
        <v>0</v>
      </c>
      <c r="BD264" s="39">
        <v>0</v>
      </c>
      <c r="BE264" s="39">
        <v>0</v>
      </c>
      <c r="BF264" s="39">
        <f t="shared" si="710"/>
        <v>0</v>
      </c>
      <c r="BG264" s="39">
        <v>0</v>
      </c>
      <c r="BH264" s="39">
        <v>0</v>
      </c>
      <c r="BI264" s="39">
        <v>0</v>
      </c>
      <c r="BJ264" s="39">
        <v>0</v>
      </c>
      <c r="BK264" s="39">
        <f t="shared" ref="BK264:BK267" si="715">SUM(BL264)</f>
        <v>0</v>
      </c>
      <c r="BL264" s="39">
        <v>0</v>
      </c>
      <c r="BM264" s="39">
        <v>0</v>
      </c>
      <c r="BN264" s="39">
        <f t="shared" si="711"/>
        <v>0</v>
      </c>
      <c r="BO264" s="39">
        <v>0</v>
      </c>
      <c r="BP264" s="39">
        <v>0</v>
      </c>
      <c r="BQ264" s="39">
        <v>0</v>
      </c>
      <c r="BR264" s="39">
        <v>0</v>
      </c>
      <c r="BS264" s="39">
        <v>0</v>
      </c>
      <c r="BT264" s="39">
        <v>0</v>
      </c>
      <c r="BU264" s="39">
        <v>0</v>
      </c>
      <c r="BV264" s="39">
        <v>0</v>
      </c>
      <c r="BW264" s="39">
        <v>0</v>
      </c>
      <c r="BX264" s="39">
        <v>0</v>
      </c>
      <c r="BY264" s="39">
        <v>0</v>
      </c>
      <c r="BZ264" s="39">
        <f t="shared" si="686"/>
        <v>2965065</v>
      </c>
      <c r="CA264" s="39">
        <f t="shared" si="712"/>
        <v>0</v>
      </c>
      <c r="CB264" s="39">
        <f t="shared" ref="CB264:CB267" si="716">SUM(CC264:CD264)</f>
        <v>0</v>
      </c>
      <c r="CC264" s="39">
        <v>0</v>
      </c>
      <c r="CD264" s="39">
        <v>0</v>
      </c>
      <c r="CE264" s="19">
        <f t="shared" si="687"/>
        <v>0</v>
      </c>
      <c r="CF264" s="39">
        <v>0</v>
      </c>
      <c r="CG264" s="39">
        <v>0</v>
      </c>
      <c r="CH264" s="39">
        <v>0</v>
      </c>
      <c r="CI264" s="39">
        <v>0</v>
      </c>
      <c r="CJ264" s="39">
        <v>0</v>
      </c>
      <c r="CK264" s="39">
        <f t="shared" si="688"/>
        <v>0</v>
      </c>
      <c r="CL264" s="39">
        <v>0</v>
      </c>
      <c r="CM264" s="39">
        <v>0</v>
      </c>
      <c r="CN264" s="39">
        <v>0</v>
      </c>
      <c r="CO264" s="35">
        <v>2965065</v>
      </c>
      <c r="CP264" s="76"/>
      <c r="CQ264" s="76"/>
      <c r="CR264" s="76"/>
      <c r="CS264" s="39">
        <f t="shared" ref="CS264:CS267" si="717">SUM(CT264)</f>
        <v>0</v>
      </c>
      <c r="CT264" s="39">
        <f t="shared" ref="CT264:CT267" si="718">SUM(CU264:CV264)</f>
        <v>0</v>
      </c>
      <c r="CU264" s="39">
        <v>0</v>
      </c>
      <c r="CV264" s="41">
        <v>0</v>
      </c>
      <c r="CW264" s="52"/>
    </row>
    <row r="265" spans="1:101" ht="31.5" hidden="1" customHeight="1" x14ac:dyDescent="0.3">
      <c r="A265" s="105" t="s">
        <v>1</v>
      </c>
      <c r="B265" s="21" t="s">
        <v>60</v>
      </c>
      <c r="C265" s="22" t="s">
        <v>477</v>
      </c>
      <c r="D265" s="19">
        <f t="shared" si="680"/>
        <v>838650</v>
      </c>
      <c r="E265" s="19">
        <f t="shared" si="704"/>
        <v>0</v>
      </c>
      <c r="F265" s="19">
        <f t="shared" si="705"/>
        <v>0</v>
      </c>
      <c r="G265" s="19">
        <v>0</v>
      </c>
      <c r="H265" s="19">
        <v>0</v>
      </c>
      <c r="I265" s="19">
        <f t="shared" si="713"/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19">
        <f t="shared" si="714"/>
        <v>0</v>
      </c>
      <c r="Q265" s="19">
        <v>0</v>
      </c>
      <c r="R265" s="19">
        <v>0</v>
      </c>
      <c r="S265" s="19">
        <v>0</v>
      </c>
      <c r="T265" s="19">
        <v>0</v>
      </c>
      <c r="U265" s="19">
        <f t="shared" si="706"/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>
        <f t="shared" si="707"/>
        <v>0</v>
      </c>
      <c r="AF265" s="19"/>
      <c r="AG265" s="19"/>
      <c r="AH265" s="19">
        <v>0</v>
      </c>
      <c r="AI265" s="19">
        <v>0</v>
      </c>
      <c r="AJ265" s="19">
        <v>0</v>
      </c>
      <c r="AK265" s="19">
        <v>0</v>
      </c>
      <c r="AL265" s="19">
        <v>0</v>
      </c>
      <c r="AM265" s="19">
        <v>0</v>
      </c>
      <c r="AN265" s="19">
        <v>0</v>
      </c>
      <c r="AO265" s="19">
        <v>0</v>
      </c>
      <c r="AP265" s="19">
        <v>0</v>
      </c>
      <c r="AQ265" s="19">
        <v>0</v>
      </c>
      <c r="AR265" s="19">
        <v>0</v>
      </c>
      <c r="AS265" s="19">
        <v>0</v>
      </c>
      <c r="AT265" s="19">
        <v>0</v>
      </c>
      <c r="AU265" s="19">
        <v>0</v>
      </c>
      <c r="AV265" s="19">
        <v>0</v>
      </c>
      <c r="AW265" s="19">
        <v>0</v>
      </c>
      <c r="AX265" s="19">
        <v>0</v>
      </c>
      <c r="AY265" s="19">
        <v>0</v>
      </c>
      <c r="AZ265" s="19">
        <v>0</v>
      </c>
      <c r="BA265" s="19">
        <f t="shared" si="708"/>
        <v>0</v>
      </c>
      <c r="BB265" s="19">
        <f t="shared" si="709"/>
        <v>0</v>
      </c>
      <c r="BC265" s="19">
        <v>0</v>
      </c>
      <c r="BD265" s="19">
        <v>0</v>
      </c>
      <c r="BE265" s="19">
        <v>0</v>
      </c>
      <c r="BF265" s="19">
        <f t="shared" si="710"/>
        <v>0</v>
      </c>
      <c r="BG265" s="19">
        <v>0</v>
      </c>
      <c r="BH265" s="19">
        <v>0</v>
      </c>
      <c r="BI265" s="19">
        <v>0</v>
      </c>
      <c r="BJ265" s="19">
        <v>0</v>
      </c>
      <c r="BK265" s="19">
        <f t="shared" si="715"/>
        <v>0</v>
      </c>
      <c r="BL265" s="19">
        <v>0</v>
      </c>
      <c r="BM265" s="19">
        <v>0</v>
      </c>
      <c r="BN265" s="19">
        <f t="shared" si="711"/>
        <v>0</v>
      </c>
      <c r="BO265" s="19">
        <v>0</v>
      </c>
      <c r="BP265" s="19">
        <v>0</v>
      </c>
      <c r="BQ265" s="19">
        <v>0</v>
      </c>
      <c r="BR265" s="19">
        <v>0</v>
      </c>
      <c r="BS265" s="19">
        <v>0</v>
      </c>
      <c r="BT265" s="19">
        <v>0</v>
      </c>
      <c r="BU265" s="19">
        <v>0</v>
      </c>
      <c r="BV265" s="19">
        <v>0</v>
      </c>
      <c r="BW265" s="19">
        <v>0</v>
      </c>
      <c r="BX265" s="19">
        <v>0</v>
      </c>
      <c r="BY265" s="19">
        <v>0</v>
      </c>
      <c r="BZ265" s="19">
        <f t="shared" si="686"/>
        <v>838650</v>
      </c>
      <c r="CA265" s="19">
        <f t="shared" si="712"/>
        <v>0</v>
      </c>
      <c r="CB265" s="19">
        <f t="shared" si="716"/>
        <v>0</v>
      </c>
      <c r="CC265" s="19">
        <v>0</v>
      </c>
      <c r="CD265" s="19">
        <v>0</v>
      </c>
      <c r="CE265" s="19">
        <f t="shared" si="687"/>
        <v>0</v>
      </c>
      <c r="CF265" s="19">
        <v>0</v>
      </c>
      <c r="CG265" s="19">
        <v>0</v>
      </c>
      <c r="CH265" s="19">
        <v>0</v>
      </c>
      <c r="CI265" s="19">
        <v>0</v>
      </c>
      <c r="CJ265" s="19">
        <v>0</v>
      </c>
      <c r="CK265" s="19">
        <f t="shared" si="688"/>
        <v>0</v>
      </c>
      <c r="CL265" s="19">
        <v>0</v>
      </c>
      <c r="CM265" s="19">
        <v>0</v>
      </c>
      <c r="CN265" s="19">
        <v>0</v>
      </c>
      <c r="CO265" s="35">
        <v>838650</v>
      </c>
      <c r="CP265" s="76"/>
      <c r="CQ265" s="76"/>
      <c r="CR265" s="76"/>
      <c r="CS265" s="19">
        <f t="shared" si="717"/>
        <v>0</v>
      </c>
      <c r="CT265" s="19">
        <f t="shared" si="718"/>
        <v>0</v>
      </c>
      <c r="CU265" s="19">
        <v>0</v>
      </c>
      <c r="CV265" s="20">
        <v>0</v>
      </c>
      <c r="CW265" s="52"/>
    </row>
    <row r="266" spans="1:101" ht="31.2" x14ac:dyDescent="0.3">
      <c r="A266" s="108"/>
      <c r="B266" s="42" t="s">
        <v>126</v>
      </c>
      <c r="C266" s="43" t="s">
        <v>542</v>
      </c>
      <c r="D266" s="39">
        <f t="shared" si="680"/>
        <v>0</v>
      </c>
      <c r="E266" s="39">
        <f t="shared" si="704"/>
        <v>0</v>
      </c>
      <c r="F266" s="39">
        <f t="shared" si="705"/>
        <v>0</v>
      </c>
      <c r="G266" s="39">
        <v>0</v>
      </c>
      <c r="H266" s="39">
        <v>0</v>
      </c>
      <c r="I266" s="39">
        <f t="shared" si="713"/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f t="shared" si="714"/>
        <v>0</v>
      </c>
      <c r="Q266" s="39">
        <v>0</v>
      </c>
      <c r="R266" s="39">
        <v>0</v>
      </c>
      <c r="S266" s="39">
        <v>0</v>
      </c>
      <c r="T266" s="39">
        <v>0</v>
      </c>
      <c r="U266" s="39">
        <f t="shared" si="706"/>
        <v>0</v>
      </c>
      <c r="V266" s="39">
        <v>0</v>
      </c>
      <c r="W266" s="39">
        <v>0</v>
      </c>
      <c r="X266" s="39">
        <v>0</v>
      </c>
      <c r="Y266" s="39">
        <v>0</v>
      </c>
      <c r="Z266" s="39">
        <v>0</v>
      </c>
      <c r="AA266" s="39">
        <v>0</v>
      </c>
      <c r="AB266" s="39">
        <v>0</v>
      </c>
      <c r="AC266" s="39">
        <v>0</v>
      </c>
      <c r="AD266" s="39">
        <v>0</v>
      </c>
      <c r="AE266" s="39">
        <f t="shared" si="707"/>
        <v>0</v>
      </c>
      <c r="AF266" s="40"/>
      <c r="AG266" s="40"/>
      <c r="AH266" s="39">
        <v>0</v>
      </c>
      <c r="AI266" s="39">
        <v>0</v>
      </c>
      <c r="AJ266" s="39">
        <v>0</v>
      </c>
      <c r="AK266" s="39">
        <v>0</v>
      </c>
      <c r="AL266" s="39">
        <v>0</v>
      </c>
      <c r="AM266" s="39">
        <v>0</v>
      </c>
      <c r="AN266" s="39">
        <v>0</v>
      </c>
      <c r="AO266" s="39">
        <v>0</v>
      </c>
      <c r="AP266" s="39">
        <v>0</v>
      </c>
      <c r="AQ266" s="39">
        <v>0</v>
      </c>
      <c r="AR266" s="39">
        <v>0</v>
      </c>
      <c r="AS266" s="39">
        <v>0</v>
      </c>
      <c r="AT266" s="39">
        <v>0</v>
      </c>
      <c r="AU266" s="39">
        <v>0</v>
      </c>
      <c r="AV266" s="39">
        <v>0</v>
      </c>
      <c r="AW266" s="39">
        <v>0</v>
      </c>
      <c r="AX266" s="39">
        <v>0</v>
      </c>
      <c r="AY266" s="39">
        <v>0</v>
      </c>
      <c r="AZ266" s="39">
        <v>0</v>
      </c>
      <c r="BA266" s="39">
        <f t="shared" si="708"/>
        <v>0</v>
      </c>
      <c r="BB266" s="39">
        <f t="shared" si="709"/>
        <v>0</v>
      </c>
      <c r="BC266" s="39">
        <v>0</v>
      </c>
      <c r="BD266" s="39">
        <v>0</v>
      </c>
      <c r="BE266" s="39">
        <v>0</v>
      </c>
      <c r="BF266" s="39">
        <f t="shared" si="710"/>
        <v>0</v>
      </c>
      <c r="BG266" s="39">
        <v>0</v>
      </c>
      <c r="BH266" s="39">
        <v>0</v>
      </c>
      <c r="BI266" s="39">
        <v>0</v>
      </c>
      <c r="BJ266" s="39">
        <v>0</v>
      </c>
      <c r="BK266" s="39">
        <f t="shared" si="715"/>
        <v>0</v>
      </c>
      <c r="BL266" s="39">
        <v>0</v>
      </c>
      <c r="BM266" s="39">
        <v>0</v>
      </c>
      <c r="BN266" s="39">
        <f t="shared" si="711"/>
        <v>0</v>
      </c>
      <c r="BO266" s="39">
        <v>0</v>
      </c>
      <c r="BP266" s="39">
        <v>0</v>
      </c>
      <c r="BQ266" s="39">
        <v>0</v>
      </c>
      <c r="BR266" s="39">
        <v>0</v>
      </c>
      <c r="BS266" s="39">
        <v>0</v>
      </c>
      <c r="BT266" s="39">
        <v>0</v>
      </c>
      <c r="BU266" s="39">
        <v>0</v>
      </c>
      <c r="BV266" s="39">
        <v>0</v>
      </c>
      <c r="BW266" s="39">
        <v>0</v>
      </c>
      <c r="BX266" s="39">
        <v>0</v>
      </c>
      <c r="BY266" s="39">
        <v>0</v>
      </c>
      <c r="BZ266" s="39">
        <f t="shared" si="686"/>
        <v>0</v>
      </c>
      <c r="CA266" s="39">
        <f t="shared" si="712"/>
        <v>0</v>
      </c>
      <c r="CB266" s="39">
        <f t="shared" si="716"/>
        <v>0</v>
      </c>
      <c r="CC266" s="39">
        <v>0</v>
      </c>
      <c r="CD266" s="35">
        <f>8631700-8631700</f>
        <v>0</v>
      </c>
      <c r="CE266" s="19">
        <f t="shared" si="687"/>
        <v>0</v>
      </c>
      <c r="CF266" s="39">
        <v>0</v>
      </c>
      <c r="CG266" s="39">
        <v>0</v>
      </c>
      <c r="CH266" s="39">
        <v>0</v>
      </c>
      <c r="CI266" s="39">
        <v>0</v>
      </c>
      <c r="CJ266" s="39">
        <v>0</v>
      </c>
      <c r="CK266" s="39">
        <f t="shared" si="688"/>
        <v>0</v>
      </c>
      <c r="CL266" s="39">
        <v>0</v>
      </c>
      <c r="CM266" s="39">
        <v>0</v>
      </c>
      <c r="CN266" s="39">
        <v>0</v>
      </c>
      <c r="CO266" s="35">
        <f>7438500-7438500</f>
        <v>0</v>
      </c>
      <c r="CP266" s="76"/>
      <c r="CQ266" s="76"/>
      <c r="CR266" s="76"/>
      <c r="CS266" s="39">
        <f t="shared" si="717"/>
        <v>0</v>
      </c>
      <c r="CT266" s="39">
        <f t="shared" si="718"/>
        <v>0</v>
      </c>
      <c r="CU266" s="39">
        <v>0</v>
      </c>
      <c r="CV266" s="41">
        <v>0</v>
      </c>
      <c r="CW266" s="52"/>
    </row>
    <row r="267" spans="1:101" ht="31.2" x14ac:dyDescent="0.3">
      <c r="A267" s="108"/>
      <c r="B267" s="42" t="s">
        <v>66</v>
      </c>
      <c r="C267" s="43" t="s">
        <v>478</v>
      </c>
      <c r="D267" s="39">
        <f t="shared" si="680"/>
        <v>1387967</v>
      </c>
      <c r="E267" s="39">
        <f t="shared" si="704"/>
        <v>1387967</v>
      </c>
      <c r="F267" s="39">
        <f t="shared" si="705"/>
        <v>1387967</v>
      </c>
      <c r="G267" s="39">
        <v>0</v>
      </c>
      <c r="H267" s="39">
        <v>0</v>
      </c>
      <c r="I267" s="39">
        <f t="shared" si="713"/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f t="shared" si="714"/>
        <v>0</v>
      </c>
      <c r="Q267" s="39">
        <v>0</v>
      </c>
      <c r="R267" s="39">
        <v>0</v>
      </c>
      <c r="S267" s="39">
        <v>0</v>
      </c>
      <c r="T267" s="39">
        <v>0</v>
      </c>
      <c r="U267" s="39">
        <f t="shared" si="706"/>
        <v>0</v>
      </c>
      <c r="V267" s="39">
        <v>0</v>
      </c>
      <c r="W267" s="39">
        <v>0</v>
      </c>
      <c r="X267" s="39">
        <v>0</v>
      </c>
      <c r="Y267" s="39">
        <v>0</v>
      </c>
      <c r="Z267" s="39">
        <v>0</v>
      </c>
      <c r="AA267" s="39">
        <v>0</v>
      </c>
      <c r="AB267" s="39">
        <v>0</v>
      </c>
      <c r="AC267" s="39">
        <v>0</v>
      </c>
      <c r="AD267" s="39">
        <v>0</v>
      </c>
      <c r="AE267" s="39">
        <f t="shared" si="707"/>
        <v>1387967</v>
      </c>
      <c r="AF267" s="40"/>
      <c r="AG267" s="40"/>
      <c r="AH267" s="39">
        <v>0</v>
      </c>
      <c r="AI267" s="39">
        <v>0</v>
      </c>
      <c r="AJ267" s="39">
        <v>0</v>
      </c>
      <c r="AK267" s="39">
        <v>0</v>
      </c>
      <c r="AL267" s="39">
        <v>0</v>
      </c>
      <c r="AM267" s="39">
        <v>0</v>
      </c>
      <c r="AN267" s="39">
        <v>0</v>
      </c>
      <c r="AO267" s="39">
        <v>0</v>
      </c>
      <c r="AP267" s="39">
        <v>0</v>
      </c>
      <c r="AQ267" s="39">
        <v>0</v>
      </c>
      <c r="AR267" s="39">
        <v>0</v>
      </c>
      <c r="AS267" s="39">
        <v>0</v>
      </c>
      <c r="AT267" s="39">
        <v>0</v>
      </c>
      <c r="AU267" s="39">
        <v>0</v>
      </c>
      <c r="AV267" s="39">
        <v>0</v>
      </c>
      <c r="AW267" s="39">
        <v>0</v>
      </c>
      <c r="AX267" s="39">
        <v>0</v>
      </c>
      <c r="AY267" s="39">
        <v>0</v>
      </c>
      <c r="AZ267" s="35">
        <v>1387967</v>
      </c>
      <c r="BA267" s="39">
        <f t="shared" si="708"/>
        <v>0</v>
      </c>
      <c r="BB267" s="39">
        <f t="shared" si="709"/>
        <v>0</v>
      </c>
      <c r="BC267" s="39">
        <v>0</v>
      </c>
      <c r="BD267" s="39">
        <v>0</v>
      </c>
      <c r="BE267" s="39">
        <v>0</v>
      </c>
      <c r="BF267" s="39">
        <f t="shared" si="710"/>
        <v>0</v>
      </c>
      <c r="BG267" s="39">
        <v>0</v>
      </c>
      <c r="BH267" s="39">
        <v>0</v>
      </c>
      <c r="BI267" s="39">
        <v>0</v>
      </c>
      <c r="BJ267" s="39">
        <v>0</v>
      </c>
      <c r="BK267" s="39">
        <f t="shared" si="715"/>
        <v>0</v>
      </c>
      <c r="BL267" s="39">
        <v>0</v>
      </c>
      <c r="BM267" s="39">
        <v>0</v>
      </c>
      <c r="BN267" s="39">
        <f t="shared" si="711"/>
        <v>0</v>
      </c>
      <c r="BO267" s="39">
        <v>0</v>
      </c>
      <c r="BP267" s="39">
        <v>0</v>
      </c>
      <c r="BQ267" s="39">
        <v>0</v>
      </c>
      <c r="BR267" s="39">
        <v>0</v>
      </c>
      <c r="BS267" s="39">
        <v>0</v>
      </c>
      <c r="BT267" s="39">
        <v>0</v>
      </c>
      <c r="BU267" s="39">
        <v>0</v>
      </c>
      <c r="BV267" s="39">
        <v>0</v>
      </c>
      <c r="BW267" s="39">
        <v>0</v>
      </c>
      <c r="BX267" s="39">
        <v>0</v>
      </c>
      <c r="BY267" s="39">
        <v>0</v>
      </c>
      <c r="BZ267" s="39">
        <f t="shared" si="686"/>
        <v>0</v>
      </c>
      <c r="CA267" s="39">
        <f t="shared" si="712"/>
        <v>0</v>
      </c>
      <c r="CB267" s="39">
        <f t="shared" si="716"/>
        <v>0</v>
      </c>
      <c r="CC267" s="39">
        <v>0</v>
      </c>
      <c r="CD267" s="39">
        <v>0</v>
      </c>
      <c r="CE267" s="19">
        <f t="shared" si="687"/>
        <v>0</v>
      </c>
      <c r="CF267" s="39">
        <v>0</v>
      </c>
      <c r="CG267" s="39">
        <v>0</v>
      </c>
      <c r="CH267" s="39">
        <v>0</v>
      </c>
      <c r="CI267" s="39">
        <v>0</v>
      </c>
      <c r="CJ267" s="39">
        <v>0</v>
      </c>
      <c r="CK267" s="39">
        <f t="shared" si="688"/>
        <v>0</v>
      </c>
      <c r="CL267" s="39">
        <v>0</v>
      </c>
      <c r="CM267" s="39">
        <v>0</v>
      </c>
      <c r="CN267" s="39">
        <v>0</v>
      </c>
      <c r="CO267" s="35"/>
      <c r="CP267" s="76"/>
      <c r="CQ267" s="76"/>
      <c r="CR267" s="76"/>
      <c r="CS267" s="39">
        <f t="shared" si="717"/>
        <v>0</v>
      </c>
      <c r="CT267" s="39">
        <f t="shared" si="718"/>
        <v>0</v>
      </c>
      <c r="CU267" s="39">
        <v>0</v>
      </c>
      <c r="CV267" s="41">
        <v>0</v>
      </c>
      <c r="CW267" s="52"/>
    </row>
    <row r="268" spans="1:101" ht="31.2" x14ac:dyDescent="0.3">
      <c r="A268" s="108"/>
      <c r="B268" s="42">
        <v>147</v>
      </c>
      <c r="C268" s="43" t="s">
        <v>614</v>
      </c>
      <c r="D268" s="39">
        <f t="shared" si="680"/>
        <v>1475668</v>
      </c>
      <c r="E268" s="39">
        <f t="shared" ref="E268" si="719">SUM(F268+BA268)</f>
        <v>0</v>
      </c>
      <c r="F268" s="39">
        <f t="shared" ref="F268" si="720">SUM(G268+H268+I268+P268+S268+T268+U268+AE268+AD268)</f>
        <v>0</v>
      </c>
      <c r="G268" s="39">
        <v>0</v>
      </c>
      <c r="H268" s="39">
        <v>0</v>
      </c>
      <c r="I268" s="39">
        <f t="shared" ref="I268" si="721">SUM(J268:O268)</f>
        <v>0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f t="shared" ref="P268" si="722">SUM(Q268:R268)</f>
        <v>0</v>
      </c>
      <c r="Q268" s="39">
        <v>0</v>
      </c>
      <c r="R268" s="39">
        <v>0</v>
      </c>
      <c r="S268" s="39">
        <v>0</v>
      </c>
      <c r="T268" s="39">
        <v>0</v>
      </c>
      <c r="U268" s="39">
        <f t="shared" ref="U268" si="723">SUM(V268:AC268)</f>
        <v>0</v>
      </c>
      <c r="V268" s="39">
        <v>0</v>
      </c>
      <c r="W268" s="39">
        <v>0</v>
      </c>
      <c r="X268" s="39">
        <v>0</v>
      </c>
      <c r="Y268" s="39">
        <v>0</v>
      </c>
      <c r="Z268" s="39">
        <v>0</v>
      </c>
      <c r="AA268" s="39">
        <v>0</v>
      </c>
      <c r="AB268" s="39">
        <v>0</v>
      </c>
      <c r="AC268" s="39">
        <v>0</v>
      </c>
      <c r="AD268" s="39">
        <v>0</v>
      </c>
      <c r="AE268" s="39">
        <f t="shared" ref="AE268" si="724">SUM(AF268:AZ268)</f>
        <v>0</v>
      </c>
      <c r="AF268" s="40"/>
      <c r="AG268" s="40"/>
      <c r="AH268" s="39">
        <v>0</v>
      </c>
      <c r="AI268" s="39">
        <v>0</v>
      </c>
      <c r="AJ268" s="39">
        <v>0</v>
      </c>
      <c r="AK268" s="39">
        <v>0</v>
      </c>
      <c r="AL268" s="39">
        <v>0</v>
      </c>
      <c r="AM268" s="39">
        <v>0</v>
      </c>
      <c r="AN268" s="39">
        <v>0</v>
      </c>
      <c r="AO268" s="39">
        <v>0</v>
      </c>
      <c r="AP268" s="39">
        <v>0</v>
      </c>
      <c r="AQ268" s="39">
        <v>0</v>
      </c>
      <c r="AR268" s="39">
        <v>0</v>
      </c>
      <c r="AS268" s="39">
        <v>0</v>
      </c>
      <c r="AT268" s="39">
        <v>0</v>
      </c>
      <c r="AU268" s="39">
        <v>0</v>
      </c>
      <c r="AV268" s="39">
        <v>0</v>
      </c>
      <c r="AW268" s="39">
        <v>0</v>
      </c>
      <c r="AX268" s="39">
        <v>0</v>
      </c>
      <c r="AY268" s="39">
        <v>0</v>
      </c>
      <c r="AZ268" s="35"/>
      <c r="BA268" s="39">
        <f t="shared" ref="BA268" si="725">SUM(BB268+BF268+BI268+BK268+BN268)</f>
        <v>0</v>
      </c>
      <c r="BB268" s="39">
        <f t="shared" ref="BB268" si="726">SUM(BC268:BE268)</f>
        <v>0</v>
      </c>
      <c r="BC268" s="39">
        <v>0</v>
      </c>
      <c r="BD268" s="39">
        <v>0</v>
      </c>
      <c r="BE268" s="39">
        <v>0</v>
      </c>
      <c r="BF268" s="39">
        <f t="shared" ref="BF268" si="727">SUM(BH268:BH268)</f>
        <v>0</v>
      </c>
      <c r="BG268" s="39">
        <v>0</v>
      </c>
      <c r="BH268" s="39">
        <v>0</v>
      </c>
      <c r="BI268" s="39">
        <v>0</v>
      </c>
      <c r="BJ268" s="39">
        <v>0</v>
      </c>
      <c r="BK268" s="39">
        <f t="shared" ref="BK268" si="728">SUM(BL268)</f>
        <v>0</v>
      </c>
      <c r="BL268" s="39">
        <v>0</v>
      </c>
      <c r="BM268" s="39">
        <v>0</v>
      </c>
      <c r="BN268" s="39">
        <f t="shared" ref="BN268" si="729">SUM(BO268:BY268)</f>
        <v>0</v>
      </c>
      <c r="BO268" s="39">
        <v>0</v>
      </c>
      <c r="BP268" s="39">
        <v>0</v>
      </c>
      <c r="BQ268" s="39">
        <v>0</v>
      </c>
      <c r="BR268" s="39">
        <v>0</v>
      </c>
      <c r="BS268" s="39">
        <v>0</v>
      </c>
      <c r="BT268" s="39">
        <v>0</v>
      </c>
      <c r="BU268" s="39">
        <v>0</v>
      </c>
      <c r="BV268" s="39">
        <v>0</v>
      </c>
      <c r="BW268" s="39">
        <v>0</v>
      </c>
      <c r="BX268" s="39">
        <v>0</v>
      </c>
      <c r="BY268" s="39">
        <v>0</v>
      </c>
      <c r="BZ268" s="39">
        <f t="shared" si="686"/>
        <v>1475668</v>
      </c>
      <c r="CA268" s="39">
        <f t="shared" ref="CA268" si="730">SUM(CB268+CE268+CK268)</f>
        <v>0</v>
      </c>
      <c r="CB268" s="39">
        <f t="shared" ref="CB268" si="731">SUM(CC268:CD268)</f>
        <v>0</v>
      </c>
      <c r="CC268" s="39">
        <v>0</v>
      </c>
      <c r="CD268" s="39">
        <v>0</v>
      </c>
      <c r="CE268" s="19">
        <f t="shared" ref="CE268" si="732">SUM(CF268:CJ268)</f>
        <v>0</v>
      </c>
      <c r="CF268" s="39">
        <v>0</v>
      </c>
      <c r="CG268" s="39">
        <v>0</v>
      </c>
      <c r="CH268" s="39">
        <v>0</v>
      </c>
      <c r="CI268" s="39">
        <v>0</v>
      </c>
      <c r="CJ268" s="39">
        <v>0</v>
      </c>
      <c r="CK268" s="39">
        <f t="shared" si="688"/>
        <v>0</v>
      </c>
      <c r="CL268" s="39">
        <v>0</v>
      </c>
      <c r="CM268" s="39">
        <v>0</v>
      </c>
      <c r="CN268" s="39">
        <v>0</v>
      </c>
      <c r="CO268" s="35">
        <f>0+1475668</f>
        <v>1475668</v>
      </c>
      <c r="CP268" s="76"/>
      <c r="CQ268" s="76"/>
      <c r="CR268" s="76"/>
      <c r="CS268" s="39">
        <f t="shared" ref="CS268" si="733">SUM(CT268)</f>
        <v>0</v>
      </c>
      <c r="CT268" s="39">
        <f t="shared" ref="CT268" si="734">SUM(CU268:CV268)</f>
        <v>0</v>
      </c>
      <c r="CU268" s="39">
        <v>0</v>
      </c>
      <c r="CV268" s="41">
        <v>0</v>
      </c>
      <c r="CW268" s="52"/>
    </row>
    <row r="269" spans="1:101" ht="15.6" x14ac:dyDescent="0.3">
      <c r="A269" s="105" t="s">
        <v>1</v>
      </c>
      <c r="B269" s="36" t="s">
        <v>479</v>
      </c>
      <c r="C269" s="22" t="s">
        <v>534</v>
      </c>
      <c r="D269" s="19">
        <f t="shared" si="680"/>
        <v>21675904</v>
      </c>
      <c r="E269" s="19">
        <f t="shared" si="704"/>
        <v>0</v>
      </c>
      <c r="F269" s="19">
        <f t="shared" si="695"/>
        <v>0</v>
      </c>
      <c r="G269" s="19">
        <v>0</v>
      </c>
      <c r="H269" s="19">
        <v>0</v>
      </c>
      <c r="I269" s="19">
        <f t="shared" si="584"/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f t="shared" si="585"/>
        <v>0</v>
      </c>
      <c r="Q269" s="19">
        <v>0</v>
      </c>
      <c r="R269" s="19">
        <v>0</v>
      </c>
      <c r="S269" s="19">
        <v>0</v>
      </c>
      <c r="T269" s="19">
        <v>0</v>
      </c>
      <c r="U269" s="19">
        <f t="shared" si="696"/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f t="shared" si="707"/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0</v>
      </c>
      <c r="AK269" s="19">
        <v>0</v>
      </c>
      <c r="AL269" s="19">
        <v>0</v>
      </c>
      <c r="AM269" s="19">
        <v>0</v>
      </c>
      <c r="AN269" s="19">
        <v>0</v>
      </c>
      <c r="AO269" s="19">
        <v>0</v>
      </c>
      <c r="AP269" s="19">
        <v>0</v>
      </c>
      <c r="AQ269" s="19">
        <v>0</v>
      </c>
      <c r="AR269" s="19">
        <v>0</v>
      </c>
      <c r="AS269" s="19">
        <v>0</v>
      </c>
      <c r="AT269" s="19">
        <v>0</v>
      </c>
      <c r="AU269" s="19">
        <v>0</v>
      </c>
      <c r="AV269" s="19">
        <v>0</v>
      </c>
      <c r="AW269" s="19">
        <v>0</v>
      </c>
      <c r="AX269" s="19">
        <v>0</v>
      </c>
      <c r="AY269" s="19">
        <v>0</v>
      </c>
      <c r="AZ269" s="19">
        <v>0</v>
      </c>
      <c r="BA269" s="19">
        <f t="shared" si="708"/>
        <v>0</v>
      </c>
      <c r="BB269" s="19">
        <f t="shared" si="697"/>
        <v>0</v>
      </c>
      <c r="BC269" s="19">
        <v>0</v>
      </c>
      <c r="BD269" s="19">
        <v>0</v>
      </c>
      <c r="BE269" s="19">
        <v>0</v>
      </c>
      <c r="BF269" s="19">
        <f>SUM(BH269:BH269)</f>
        <v>0</v>
      </c>
      <c r="BG269" s="19">
        <v>0</v>
      </c>
      <c r="BH269" s="19">
        <v>0</v>
      </c>
      <c r="BI269" s="19">
        <v>0</v>
      </c>
      <c r="BJ269" s="19">
        <v>0</v>
      </c>
      <c r="BK269" s="19">
        <f t="shared" si="587"/>
        <v>0</v>
      </c>
      <c r="BL269" s="19">
        <v>0</v>
      </c>
      <c r="BM269" s="19">
        <v>0</v>
      </c>
      <c r="BN269" s="19">
        <f t="shared" si="685"/>
        <v>0</v>
      </c>
      <c r="BO269" s="19">
        <v>0</v>
      </c>
      <c r="BP269" s="19">
        <v>0</v>
      </c>
      <c r="BQ269" s="19">
        <v>0</v>
      </c>
      <c r="BR269" s="19">
        <v>0</v>
      </c>
      <c r="BS269" s="19">
        <v>0</v>
      </c>
      <c r="BT269" s="19">
        <v>0</v>
      </c>
      <c r="BU269" s="19">
        <v>0</v>
      </c>
      <c r="BV269" s="19">
        <v>0</v>
      </c>
      <c r="BW269" s="19">
        <v>0</v>
      </c>
      <c r="BX269" s="19">
        <v>0</v>
      </c>
      <c r="BY269" s="19">
        <v>0</v>
      </c>
      <c r="BZ269" s="19">
        <f t="shared" si="686"/>
        <v>21675904</v>
      </c>
      <c r="CA269" s="19">
        <f t="shared" si="712"/>
        <v>0</v>
      </c>
      <c r="CB269" s="19">
        <f t="shared" si="588"/>
        <v>0</v>
      </c>
      <c r="CC269" s="19">
        <v>0</v>
      </c>
      <c r="CD269" s="19">
        <v>0</v>
      </c>
      <c r="CE269" s="19">
        <f t="shared" si="687"/>
        <v>0</v>
      </c>
      <c r="CF269" s="19">
        <v>0</v>
      </c>
      <c r="CG269" s="19">
        <v>0</v>
      </c>
      <c r="CH269" s="19">
        <v>0</v>
      </c>
      <c r="CI269" s="19">
        <v>0</v>
      </c>
      <c r="CJ269" s="19">
        <v>0</v>
      </c>
      <c r="CK269" s="19">
        <f t="shared" si="688"/>
        <v>0</v>
      </c>
      <c r="CL269" s="19">
        <v>0</v>
      </c>
      <c r="CM269" s="19">
        <v>0</v>
      </c>
      <c r="CN269" s="19">
        <v>0</v>
      </c>
      <c r="CO269" s="35">
        <f>16500000+5175904</f>
        <v>21675904</v>
      </c>
      <c r="CP269" s="76"/>
      <c r="CQ269" s="76"/>
      <c r="CR269" s="76"/>
      <c r="CS269" s="19">
        <f t="shared" si="589"/>
        <v>0</v>
      </c>
      <c r="CT269" s="19">
        <f t="shared" si="590"/>
        <v>0</v>
      </c>
      <c r="CU269" s="19">
        <v>0</v>
      </c>
      <c r="CV269" s="20">
        <v>0</v>
      </c>
      <c r="CW269" s="52"/>
    </row>
    <row r="270" spans="1:101" s="55" customFormat="1" ht="15.6" x14ac:dyDescent="0.3">
      <c r="A270" s="104" t="s">
        <v>294</v>
      </c>
      <c r="B270" s="16" t="s">
        <v>1</v>
      </c>
      <c r="C270" s="17" t="s">
        <v>295</v>
      </c>
      <c r="D270" s="18">
        <f t="shared" ref="D270:BQ272" si="735">SUM(D271)</f>
        <v>22050000</v>
      </c>
      <c r="E270" s="18">
        <f t="shared" si="735"/>
        <v>0</v>
      </c>
      <c r="F270" s="18">
        <f t="shared" si="735"/>
        <v>0</v>
      </c>
      <c r="G270" s="18">
        <f t="shared" si="735"/>
        <v>0</v>
      </c>
      <c r="H270" s="18">
        <f t="shared" si="735"/>
        <v>0</v>
      </c>
      <c r="I270" s="18">
        <f t="shared" si="735"/>
        <v>0</v>
      </c>
      <c r="J270" s="18">
        <f t="shared" si="735"/>
        <v>0</v>
      </c>
      <c r="K270" s="18">
        <f t="shared" si="735"/>
        <v>0</v>
      </c>
      <c r="L270" s="18">
        <f t="shared" si="735"/>
        <v>0</v>
      </c>
      <c r="M270" s="18">
        <f t="shared" si="735"/>
        <v>0</v>
      </c>
      <c r="N270" s="18">
        <f t="shared" si="735"/>
        <v>0</v>
      </c>
      <c r="O270" s="18">
        <f t="shared" si="735"/>
        <v>0</v>
      </c>
      <c r="P270" s="18">
        <f t="shared" si="735"/>
        <v>0</v>
      </c>
      <c r="Q270" s="18">
        <f t="shared" si="735"/>
        <v>0</v>
      </c>
      <c r="R270" s="18">
        <f t="shared" si="735"/>
        <v>0</v>
      </c>
      <c r="S270" s="18">
        <f t="shared" si="735"/>
        <v>0</v>
      </c>
      <c r="T270" s="18">
        <f t="shared" si="735"/>
        <v>0</v>
      </c>
      <c r="U270" s="18">
        <f t="shared" si="735"/>
        <v>0</v>
      </c>
      <c r="V270" s="18">
        <f t="shared" si="735"/>
        <v>0</v>
      </c>
      <c r="W270" s="18">
        <f t="shared" si="735"/>
        <v>0</v>
      </c>
      <c r="X270" s="18">
        <f t="shared" si="735"/>
        <v>0</v>
      </c>
      <c r="Y270" s="18">
        <f t="shared" si="735"/>
        <v>0</v>
      </c>
      <c r="Z270" s="18">
        <f t="shared" si="735"/>
        <v>0</v>
      </c>
      <c r="AA270" s="18">
        <f t="shared" si="735"/>
        <v>0</v>
      </c>
      <c r="AB270" s="18">
        <f t="shared" si="735"/>
        <v>0</v>
      </c>
      <c r="AC270" s="18">
        <f t="shared" si="735"/>
        <v>0</v>
      </c>
      <c r="AD270" s="18">
        <f t="shared" si="735"/>
        <v>0</v>
      </c>
      <c r="AE270" s="18">
        <f t="shared" si="735"/>
        <v>0</v>
      </c>
      <c r="AF270" s="18">
        <f t="shared" si="735"/>
        <v>0</v>
      </c>
      <c r="AG270" s="18">
        <f t="shared" si="735"/>
        <v>0</v>
      </c>
      <c r="AH270" s="18">
        <f t="shared" si="735"/>
        <v>0</v>
      </c>
      <c r="AI270" s="18">
        <f t="shared" si="735"/>
        <v>0</v>
      </c>
      <c r="AJ270" s="18">
        <f t="shared" si="735"/>
        <v>0</v>
      </c>
      <c r="AK270" s="18">
        <f t="shared" si="735"/>
        <v>0</v>
      </c>
      <c r="AL270" s="18">
        <f t="shared" si="735"/>
        <v>0</v>
      </c>
      <c r="AM270" s="18">
        <f t="shared" si="735"/>
        <v>0</v>
      </c>
      <c r="AN270" s="18">
        <f t="shared" si="735"/>
        <v>0</v>
      </c>
      <c r="AO270" s="18">
        <f t="shared" si="735"/>
        <v>0</v>
      </c>
      <c r="AP270" s="18">
        <f t="shared" si="735"/>
        <v>0</v>
      </c>
      <c r="AQ270" s="18">
        <f t="shared" si="735"/>
        <v>0</v>
      </c>
      <c r="AR270" s="18">
        <f t="shared" si="735"/>
        <v>0</v>
      </c>
      <c r="AS270" s="18">
        <f t="shared" si="735"/>
        <v>0</v>
      </c>
      <c r="AT270" s="18">
        <f t="shared" si="735"/>
        <v>0</v>
      </c>
      <c r="AU270" s="18">
        <f t="shared" si="735"/>
        <v>0</v>
      </c>
      <c r="AV270" s="18">
        <f t="shared" si="735"/>
        <v>0</v>
      </c>
      <c r="AW270" s="18">
        <f t="shared" si="735"/>
        <v>0</v>
      </c>
      <c r="AX270" s="18">
        <f t="shared" si="735"/>
        <v>0</v>
      </c>
      <c r="AY270" s="18"/>
      <c r="AZ270" s="18">
        <f t="shared" si="735"/>
        <v>0</v>
      </c>
      <c r="BA270" s="18">
        <f t="shared" si="735"/>
        <v>0</v>
      </c>
      <c r="BB270" s="18">
        <f t="shared" si="735"/>
        <v>0</v>
      </c>
      <c r="BC270" s="18">
        <f t="shared" si="735"/>
        <v>0</v>
      </c>
      <c r="BD270" s="18">
        <f t="shared" si="735"/>
        <v>0</v>
      </c>
      <c r="BE270" s="18">
        <f t="shared" si="735"/>
        <v>0</v>
      </c>
      <c r="BF270" s="18">
        <f t="shared" si="735"/>
        <v>0</v>
      </c>
      <c r="BG270" s="18">
        <f t="shared" si="735"/>
        <v>0</v>
      </c>
      <c r="BH270" s="18">
        <f t="shared" si="735"/>
        <v>0</v>
      </c>
      <c r="BI270" s="18">
        <f t="shared" si="735"/>
        <v>0</v>
      </c>
      <c r="BJ270" s="18">
        <f t="shared" si="735"/>
        <v>0</v>
      </c>
      <c r="BK270" s="18">
        <f t="shared" si="735"/>
        <v>0</v>
      </c>
      <c r="BL270" s="18">
        <f t="shared" si="735"/>
        <v>0</v>
      </c>
      <c r="BM270" s="18">
        <f t="shared" si="735"/>
        <v>0</v>
      </c>
      <c r="BN270" s="18">
        <f t="shared" si="735"/>
        <v>0</v>
      </c>
      <c r="BO270" s="18">
        <f t="shared" si="735"/>
        <v>0</v>
      </c>
      <c r="BP270" s="18">
        <f t="shared" si="735"/>
        <v>0</v>
      </c>
      <c r="BQ270" s="18">
        <f t="shared" si="735"/>
        <v>0</v>
      </c>
      <c r="BR270" s="18">
        <f t="shared" ref="BR270:CV272" si="736">SUM(BR271)</f>
        <v>0</v>
      </c>
      <c r="BS270" s="18">
        <f t="shared" si="736"/>
        <v>0</v>
      </c>
      <c r="BT270" s="18">
        <f t="shared" si="736"/>
        <v>0</v>
      </c>
      <c r="BU270" s="18">
        <f t="shared" si="736"/>
        <v>0</v>
      </c>
      <c r="BV270" s="18">
        <f t="shared" si="736"/>
        <v>0</v>
      </c>
      <c r="BW270" s="18">
        <f t="shared" si="736"/>
        <v>0</v>
      </c>
      <c r="BX270" s="18">
        <f t="shared" si="736"/>
        <v>0</v>
      </c>
      <c r="BY270" s="18">
        <f t="shared" si="736"/>
        <v>0</v>
      </c>
      <c r="BZ270" s="18">
        <f t="shared" si="736"/>
        <v>22050000</v>
      </c>
      <c r="CA270" s="18">
        <f t="shared" si="736"/>
        <v>0</v>
      </c>
      <c r="CB270" s="18">
        <f t="shared" si="736"/>
        <v>0</v>
      </c>
      <c r="CC270" s="18">
        <f t="shared" si="736"/>
        <v>0</v>
      </c>
      <c r="CD270" s="18">
        <f t="shared" si="736"/>
        <v>0</v>
      </c>
      <c r="CE270" s="18">
        <f t="shared" si="736"/>
        <v>0</v>
      </c>
      <c r="CF270" s="18">
        <f t="shared" si="736"/>
        <v>0</v>
      </c>
      <c r="CG270" s="18">
        <f t="shared" si="736"/>
        <v>0</v>
      </c>
      <c r="CH270" s="18">
        <f t="shared" si="736"/>
        <v>0</v>
      </c>
      <c r="CI270" s="18">
        <f t="shared" si="736"/>
        <v>0</v>
      </c>
      <c r="CJ270" s="18">
        <f t="shared" si="736"/>
        <v>0</v>
      </c>
      <c r="CK270" s="18">
        <f t="shared" si="736"/>
        <v>0</v>
      </c>
      <c r="CL270" s="18">
        <f t="shared" si="736"/>
        <v>0</v>
      </c>
      <c r="CM270" s="18">
        <f t="shared" si="736"/>
        <v>0</v>
      </c>
      <c r="CN270" s="18"/>
      <c r="CO270" s="38">
        <f t="shared" si="736"/>
        <v>22050000</v>
      </c>
      <c r="CP270" s="74"/>
      <c r="CQ270" s="74"/>
      <c r="CR270" s="74"/>
      <c r="CS270" s="18">
        <f t="shared" si="736"/>
        <v>0</v>
      </c>
      <c r="CT270" s="18">
        <f t="shared" si="736"/>
        <v>0</v>
      </c>
      <c r="CU270" s="18">
        <f t="shared" si="736"/>
        <v>0</v>
      </c>
      <c r="CV270" s="46">
        <f t="shared" si="736"/>
        <v>0</v>
      </c>
      <c r="CW270" s="57"/>
    </row>
    <row r="271" spans="1:101" s="52" customFormat="1" ht="15.6" x14ac:dyDescent="0.3">
      <c r="A271" s="105" t="s">
        <v>1</v>
      </c>
      <c r="B271" s="21" t="s">
        <v>296</v>
      </c>
      <c r="C271" s="22" t="s">
        <v>295</v>
      </c>
      <c r="D271" s="19">
        <f>SUM(E271+BZ271+CS271)</f>
        <v>22050000</v>
      </c>
      <c r="E271" s="19">
        <f>SUM(F271+BA271)</f>
        <v>0</v>
      </c>
      <c r="F271" s="19">
        <f>SUM(G271+H271+I271+P271+S271+T271+U271+AE271+AD271)</f>
        <v>0</v>
      </c>
      <c r="G271" s="19">
        <v>0</v>
      </c>
      <c r="H271" s="19">
        <v>0</v>
      </c>
      <c r="I271" s="19">
        <f t="shared" si="584"/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f t="shared" si="585"/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f t="shared" ref="U271" si="737">SUM(V271:AC271)</f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f>SUM(AF271:AZ271)</f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>
        <v>0</v>
      </c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/>
      <c r="AZ271" s="19">
        <v>0</v>
      </c>
      <c r="BA271" s="19">
        <f>SUM(BB271+BF271+BI271+BK271+BN271)</f>
        <v>0</v>
      </c>
      <c r="BB271" s="19">
        <f>SUM(BC271:BE271)</f>
        <v>0</v>
      </c>
      <c r="BC271" s="19">
        <v>0</v>
      </c>
      <c r="BD271" s="19">
        <v>0</v>
      </c>
      <c r="BE271" s="19">
        <v>0</v>
      </c>
      <c r="BF271" s="19">
        <f>SUM(BH271:BH271)</f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f t="shared" si="587"/>
        <v>0</v>
      </c>
      <c r="BL271" s="19">
        <v>0</v>
      </c>
      <c r="BM271" s="19">
        <v>0</v>
      </c>
      <c r="BN271" s="19">
        <f>SUM(BO271:BY271)</f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0</v>
      </c>
      <c r="BW271" s="19">
        <v>0</v>
      </c>
      <c r="BX271" s="19">
        <v>0</v>
      </c>
      <c r="BY271" s="19">
        <v>0</v>
      </c>
      <c r="BZ271" s="19">
        <f>SUM(CA271+CO271)</f>
        <v>22050000</v>
      </c>
      <c r="CA271" s="19">
        <f>SUM(CB271+CE271+CK271)</f>
        <v>0</v>
      </c>
      <c r="CB271" s="19">
        <f t="shared" si="588"/>
        <v>0</v>
      </c>
      <c r="CC271" s="19">
        <v>0</v>
      </c>
      <c r="CD271" s="19">
        <v>0</v>
      </c>
      <c r="CE271" s="19">
        <f>SUM(CF271:CJ271)</f>
        <v>0</v>
      </c>
      <c r="CF271" s="19">
        <v>0</v>
      </c>
      <c r="CG271" s="19">
        <v>0</v>
      </c>
      <c r="CH271" s="19">
        <v>0</v>
      </c>
      <c r="CI271" s="19">
        <v>0</v>
      </c>
      <c r="CJ271" s="19">
        <v>0</v>
      </c>
      <c r="CK271" s="19">
        <f>SUM(CL271:CN271)</f>
        <v>0</v>
      </c>
      <c r="CL271" s="19">
        <v>0</v>
      </c>
      <c r="CM271" s="19">
        <v>0</v>
      </c>
      <c r="CN271" s="19"/>
      <c r="CO271" s="39">
        <f>12050000+10000000</f>
        <v>22050000</v>
      </c>
      <c r="CP271" s="75"/>
      <c r="CQ271" s="75"/>
      <c r="CR271" s="75"/>
      <c r="CS271" s="19">
        <f t="shared" si="589"/>
        <v>0</v>
      </c>
      <c r="CT271" s="19">
        <f t="shared" si="590"/>
        <v>0</v>
      </c>
      <c r="CU271" s="19">
        <v>0</v>
      </c>
      <c r="CV271" s="20">
        <v>0</v>
      </c>
    </row>
    <row r="272" spans="1:101" s="52" customFormat="1" ht="31.2" x14ac:dyDescent="0.3">
      <c r="A272" s="104" t="s">
        <v>297</v>
      </c>
      <c r="B272" s="16" t="s">
        <v>1</v>
      </c>
      <c r="C272" s="30" t="s">
        <v>524</v>
      </c>
      <c r="D272" s="18">
        <f t="shared" si="735"/>
        <v>3354301</v>
      </c>
      <c r="E272" s="18">
        <f t="shared" si="735"/>
        <v>3354301</v>
      </c>
      <c r="F272" s="18">
        <f t="shared" si="735"/>
        <v>0</v>
      </c>
      <c r="G272" s="18">
        <f t="shared" si="735"/>
        <v>0</v>
      </c>
      <c r="H272" s="18">
        <f t="shared" si="735"/>
        <v>0</v>
      </c>
      <c r="I272" s="18">
        <f t="shared" si="735"/>
        <v>0</v>
      </c>
      <c r="J272" s="18">
        <f t="shared" si="735"/>
        <v>0</v>
      </c>
      <c r="K272" s="18">
        <f t="shared" si="735"/>
        <v>0</v>
      </c>
      <c r="L272" s="18">
        <f t="shared" si="735"/>
        <v>0</v>
      </c>
      <c r="M272" s="18">
        <f t="shared" si="735"/>
        <v>0</v>
      </c>
      <c r="N272" s="18">
        <f t="shared" si="735"/>
        <v>0</v>
      </c>
      <c r="O272" s="18">
        <f t="shared" si="735"/>
        <v>0</v>
      </c>
      <c r="P272" s="18">
        <f t="shared" si="735"/>
        <v>0</v>
      </c>
      <c r="Q272" s="18">
        <f t="shared" si="735"/>
        <v>0</v>
      </c>
      <c r="R272" s="18">
        <f t="shared" si="735"/>
        <v>0</v>
      </c>
      <c r="S272" s="18">
        <f t="shared" si="735"/>
        <v>0</v>
      </c>
      <c r="T272" s="18">
        <f t="shared" si="735"/>
        <v>0</v>
      </c>
      <c r="U272" s="18">
        <f t="shared" si="735"/>
        <v>0</v>
      </c>
      <c r="V272" s="18">
        <f t="shared" si="735"/>
        <v>0</v>
      </c>
      <c r="W272" s="18">
        <f t="shared" si="735"/>
        <v>0</v>
      </c>
      <c r="X272" s="18">
        <f t="shared" si="735"/>
        <v>0</v>
      </c>
      <c r="Y272" s="18">
        <f t="shared" si="735"/>
        <v>0</v>
      </c>
      <c r="Z272" s="18">
        <f t="shared" si="735"/>
        <v>0</v>
      </c>
      <c r="AA272" s="18">
        <f t="shared" si="735"/>
        <v>0</v>
      </c>
      <c r="AB272" s="18">
        <f t="shared" si="735"/>
        <v>0</v>
      </c>
      <c r="AC272" s="18">
        <f t="shared" si="735"/>
        <v>0</v>
      </c>
      <c r="AD272" s="18">
        <f t="shared" si="735"/>
        <v>0</v>
      </c>
      <c r="AE272" s="18">
        <f t="shared" si="735"/>
        <v>0</v>
      </c>
      <c r="AF272" s="18">
        <f t="shared" si="735"/>
        <v>0</v>
      </c>
      <c r="AG272" s="18">
        <f t="shared" si="735"/>
        <v>0</v>
      </c>
      <c r="AH272" s="18">
        <f t="shared" si="735"/>
        <v>0</v>
      </c>
      <c r="AI272" s="18">
        <f t="shared" si="735"/>
        <v>0</v>
      </c>
      <c r="AJ272" s="18">
        <f t="shared" si="735"/>
        <v>0</v>
      </c>
      <c r="AK272" s="18">
        <f t="shared" si="735"/>
        <v>0</v>
      </c>
      <c r="AL272" s="18">
        <f t="shared" si="735"/>
        <v>0</v>
      </c>
      <c r="AM272" s="18">
        <f t="shared" si="735"/>
        <v>0</v>
      </c>
      <c r="AN272" s="18">
        <f t="shared" si="735"/>
        <v>0</v>
      </c>
      <c r="AO272" s="18">
        <f t="shared" si="735"/>
        <v>0</v>
      </c>
      <c r="AP272" s="18">
        <f t="shared" si="735"/>
        <v>0</v>
      </c>
      <c r="AQ272" s="18">
        <f t="shared" si="735"/>
        <v>0</v>
      </c>
      <c r="AR272" s="18">
        <f t="shared" si="735"/>
        <v>0</v>
      </c>
      <c r="AS272" s="18">
        <f t="shared" si="735"/>
        <v>0</v>
      </c>
      <c r="AT272" s="18">
        <f t="shared" si="735"/>
        <v>0</v>
      </c>
      <c r="AU272" s="18">
        <f t="shared" si="735"/>
        <v>0</v>
      </c>
      <c r="AV272" s="18">
        <f t="shared" si="735"/>
        <v>0</v>
      </c>
      <c r="AW272" s="18">
        <f t="shared" si="735"/>
        <v>0</v>
      </c>
      <c r="AX272" s="18">
        <f t="shared" si="735"/>
        <v>0</v>
      </c>
      <c r="AY272" s="18"/>
      <c r="AZ272" s="18">
        <f t="shared" si="735"/>
        <v>0</v>
      </c>
      <c r="BA272" s="18">
        <f t="shared" si="735"/>
        <v>3354301</v>
      </c>
      <c r="BB272" s="18">
        <f t="shared" si="735"/>
        <v>0</v>
      </c>
      <c r="BC272" s="18">
        <f t="shared" si="735"/>
        <v>0</v>
      </c>
      <c r="BD272" s="18">
        <f t="shared" si="735"/>
        <v>0</v>
      </c>
      <c r="BE272" s="18">
        <f t="shared" si="735"/>
        <v>0</v>
      </c>
      <c r="BF272" s="18">
        <f t="shared" si="735"/>
        <v>0</v>
      </c>
      <c r="BG272" s="18">
        <f t="shared" si="735"/>
        <v>0</v>
      </c>
      <c r="BH272" s="18">
        <f t="shared" si="735"/>
        <v>0</v>
      </c>
      <c r="BI272" s="18">
        <f t="shared" si="735"/>
        <v>3354301</v>
      </c>
      <c r="BJ272" s="18">
        <f t="shared" si="735"/>
        <v>0</v>
      </c>
      <c r="BK272" s="18">
        <f t="shared" si="735"/>
        <v>0</v>
      </c>
      <c r="BL272" s="18">
        <f t="shared" si="735"/>
        <v>0</v>
      </c>
      <c r="BM272" s="18">
        <f t="shared" si="735"/>
        <v>0</v>
      </c>
      <c r="BN272" s="18">
        <f t="shared" si="735"/>
        <v>0</v>
      </c>
      <c r="BO272" s="18">
        <f t="shared" si="735"/>
        <v>0</v>
      </c>
      <c r="BP272" s="18">
        <f t="shared" si="735"/>
        <v>0</v>
      </c>
      <c r="BQ272" s="18">
        <f t="shared" si="735"/>
        <v>0</v>
      </c>
      <c r="BR272" s="18">
        <f t="shared" si="736"/>
        <v>0</v>
      </c>
      <c r="BS272" s="18">
        <f t="shared" si="736"/>
        <v>0</v>
      </c>
      <c r="BT272" s="18">
        <f t="shared" si="736"/>
        <v>0</v>
      </c>
      <c r="BU272" s="18">
        <f t="shared" si="736"/>
        <v>0</v>
      </c>
      <c r="BV272" s="18">
        <f t="shared" si="736"/>
        <v>0</v>
      </c>
      <c r="BW272" s="18">
        <f t="shared" si="736"/>
        <v>0</v>
      </c>
      <c r="BX272" s="18">
        <f t="shared" si="736"/>
        <v>0</v>
      </c>
      <c r="BY272" s="18">
        <f t="shared" si="736"/>
        <v>0</v>
      </c>
      <c r="BZ272" s="18">
        <f t="shared" si="736"/>
        <v>0</v>
      </c>
      <c r="CA272" s="18">
        <f t="shared" si="736"/>
        <v>0</v>
      </c>
      <c r="CB272" s="18">
        <f t="shared" si="736"/>
        <v>0</v>
      </c>
      <c r="CC272" s="18">
        <f t="shared" si="736"/>
        <v>0</v>
      </c>
      <c r="CD272" s="18">
        <f t="shared" si="736"/>
        <v>0</v>
      </c>
      <c r="CE272" s="18">
        <f t="shared" si="736"/>
        <v>0</v>
      </c>
      <c r="CF272" s="18">
        <f t="shared" si="736"/>
        <v>0</v>
      </c>
      <c r="CG272" s="18">
        <f t="shared" si="736"/>
        <v>0</v>
      </c>
      <c r="CH272" s="18">
        <f t="shared" si="736"/>
        <v>0</v>
      </c>
      <c r="CI272" s="18">
        <f t="shared" si="736"/>
        <v>0</v>
      </c>
      <c r="CJ272" s="18">
        <f t="shared" si="736"/>
        <v>0</v>
      </c>
      <c r="CK272" s="18">
        <f t="shared" si="736"/>
        <v>0</v>
      </c>
      <c r="CL272" s="18">
        <f t="shared" si="736"/>
        <v>0</v>
      </c>
      <c r="CM272" s="18">
        <f t="shared" si="736"/>
        <v>0</v>
      </c>
      <c r="CN272" s="18"/>
      <c r="CO272" s="18">
        <f t="shared" si="736"/>
        <v>0</v>
      </c>
      <c r="CP272" s="74"/>
      <c r="CQ272" s="74"/>
      <c r="CR272" s="74"/>
      <c r="CS272" s="18">
        <f t="shared" si="736"/>
        <v>0</v>
      </c>
      <c r="CT272" s="18">
        <f t="shared" si="736"/>
        <v>0</v>
      </c>
      <c r="CU272" s="18">
        <f t="shared" si="736"/>
        <v>0</v>
      </c>
      <c r="CV272" s="46">
        <f t="shared" si="736"/>
        <v>0</v>
      </c>
      <c r="CW272" s="57"/>
    </row>
    <row r="273" spans="1:101" s="57" customFormat="1" ht="18" customHeight="1" x14ac:dyDescent="0.3">
      <c r="A273" s="105" t="s">
        <v>1</v>
      </c>
      <c r="B273" s="21" t="s">
        <v>77</v>
      </c>
      <c r="C273" s="31" t="s">
        <v>524</v>
      </c>
      <c r="D273" s="19">
        <f>SUM(E273+BZ273+CS273)</f>
        <v>3354301</v>
      </c>
      <c r="E273" s="19">
        <f>SUM(F273+BA273)</f>
        <v>3354301</v>
      </c>
      <c r="F273" s="19">
        <f>SUM(G273+H273+I273+P273+S273+T273+U273+AE273+AD273)</f>
        <v>0</v>
      </c>
      <c r="G273" s="19">
        <v>0</v>
      </c>
      <c r="H273" s="19">
        <v>0</v>
      </c>
      <c r="I273" s="19">
        <f t="shared" ref="I273" si="738">SUM(J273:O273)</f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f t="shared" ref="P273" si="739">SUM(Q273:R273)</f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f t="shared" ref="U273" si="740">SUM(V273:AC273)</f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f>SUM(AF273:AZ273)</f>
        <v>0</v>
      </c>
      <c r="AF273" s="19">
        <v>0</v>
      </c>
      <c r="AG273" s="19">
        <v>0</v>
      </c>
      <c r="AH273" s="19">
        <v>0</v>
      </c>
      <c r="AI273" s="19">
        <v>0</v>
      </c>
      <c r="AJ273" s="19">
        <v>0</v>
      </c>
      <c r="AK273" s="19">
        <v>0</v>
      </c>
      <c r="AL273" s="19">
        <v>0</v>
      </c>
      <c r="AM273" s="19">
        <v>0</v>
      </c>
      <c r="AN273" s="19">
        <v>0</v>
      </c>
      <c r="AO273" s="19">
        <v>0</v>
      </c>
      <c r="AP273" s="19">
        <v>0</v>
      </c>
      <c r="AQ273" s="19">
        <v>0</v>
      </c>
      <c r="AR273" s="19">
        <v>0</v>
      </c>
      <c r="AS273" s="19">
        <v>0</v>
      </c>
      <c r="AT273" s="19">
        <v>0</v>
      </c>
      <c r="AU273" s="19">
        <v>0</v>
      </c>
      <c r="AV273" s="19">
        <v>0</v>
      </c>
      <c r="AW273" s="19">
        <v>0</v>
      </c>
      <c r="AX273" s="19">
        <v>0</v>
      </c>
      <c r="AY273" s="19"/>
      <c r="AZ273" s="19">
        <v>0</v>
      </c>
      <c r="BA273" s="19">
        <f>SUM(BB273+BF273+BI273+BK273+BN273)</f>
        <v>3354301</v>
      </c>
      <c r="BB273" s="19">
        <f>SUM(BC273:BE273)</f>
        <v>0</v>
      </c>
      <c r="BC273" s="19">
        <v>0</v>
      </c>
      <c r="BD273" s="19">
        <v>0</v>
      </c>
      <c r="BE273" s="19">
        <v>0</v>
      </c>
      <c r="BF273" s="19">
        <f>SUM(BH273:BH273)</f>
        <v>0</v>
      </c>
      <c r="BG273" s="19">
        <v>0</v>
      </c>
      <c r="BH273" s="19">
        <v>0</v>
      </c>
      <c r="BI273" s="23">
        <v>3354301</v>
      </c>
      <c r="BJ273" s="19">
        <v>0</v>
      </c>
      <c r="BK273" s="19">
        <f t="shared" ref="BK273" si="741">SUM(BL273)</f>
        <v>0</v>
      </c>
      <c r="BL273" s="19">
        <v>0</v>
      </c>
      <c r="BM273" s="19">
        <v>0</v>
      </c>
      <c r="BN273" s="19">
        <f>SUM(BO273:BY273)</f>
        <v>0</v>
      </c>
      <c r="BO273" s="19">
        <v>0</v>
      </c>
      <c r="BP273" s="19">
        <v>0</v>
      </c>
      <c r="BQ273" s="19">
        <v>0</v>
      </c>
      <c r="BR273" s="19">
        <v>0</v>
      </c>
      <c r="BS273" s="19">
        <v>0</v>
      </c>
      <c r="BT273" s="19">
        <v>0</v>
      </c>
      <c r="BU273" s="19">
        <v>0</v>
      </c>
      <c r="BV273" s="19">
        <v>0</v>
      </c>
      <c r="BW273" s="19">
        <v>0</v>
      </c>
      <c r="BX273" s="19">
        <v>0</v>
      </c>
      <c r="BY273" s="19">
        <v>0</v>
      </c>
      <c r="BZ273" s="19">
        <f>SUM(CA273+CO273)</f>
        <v>0</v>
      </c>
      <c r="CA273" s="19">
        <f>SUM(CB273+CE273+CK273)</f>
        <v>0</v>
      </c>
      <c r="CB273" s="19">
        <f t="shared" ref="CB273" si="742">SUM(CC273:CD273)</f>
        <v>0</v>
      </c>
      <c r="CC273" s="19">
        <v>0</v>
      </c>
      <c r="CD273" s="19">
        <v>0</v>
      </c>
      <c r="CE273" s="19">
        <f>SUM(CF273:CJ273)</f>
        <v>0</v>
      </c>
      <c r="CF273" s="19">
        <v>0</v>
      </c>
      <c r="CG273" s="19">
        <v>0</v>
      </c>
      <c r="CH273" s="19">
        <v>0</v>
      </c>
      <c r="CI273" s="19">
        <v>0</v>
      </c>
      <c r="CJ273" s="19">
        <v>0</v>
      </c>
      <c r="CK273" s="19">
        <f>SUM(CL273:CN273)</f>
        <v>0</v>
      </c>
      <c r="CL273" s="19">
        <v>0</v>
      </c>
      <c r="CM273" s="19">
        <v>0</v>
      </c>
      <c r="CN273" s="19"/>
      <c r="CO273" s="19"/>
      <c r="CP273" s="75"/>
      <c r="CQ273" s="75"/>
      <c r="CR273" s="75"/>
      <c r="CS273" s="19">
        <f t="shared" ref="CS273" si="743">SUM(CT273)</f>
        <v>0</v>
      </c>
      <c r="CT273" s="19">
        <f t="shared" ref="CT273" si="744">SUM(CU273:CV273)</f>
        <v>0</v>
      </c>
      <c r="CU273" s="19">
        <v>0</v>
      </c>
      <c r="CV273" s="20">
        <v>0</v>
      </c>
      <c r="CW273" s="52"/>
    </row>
    <row r="274" spans="1:101" s="52" customFormat="1" ht="31.5" hidden="1" customHeight="1" x14ac:dyDescent="0.3">
      <c r="A274" s="106" t="s">
        <v>298</v>
      </c>
      <c r="B274" s="25" t="s">
        <v>1</v>
      </c>
      <c r="C274" s="26" t="s">
        <v>299</v>
      </c>
      <c r="D274" s="27">
        <f>SUM(D275)</f>
        <v>0</v>
      </c>
      <c r="E274" s="28">
        <f t="shared" ref="E274:BT275" si="745">SUM(E275)</f>
        <v>0</v>
      </c>
      <c r="F274" s="28">
        <f t="shared" si="745"/>
        <v>0</v>
      </c>
      <c r="G274" s="28">
        <f t="shared" si="745"/>
        <v>0</v>
      </c>
      <c r="H274" s="28">
        <f t="shared" si="745"/>
        <v>0</v>
      </c>
      <c r="I274" s="28">
        <f t="shared" si="745"/>
        <v>0</v>
      </c>
      <c r="J274" s="28">
        <f t="shared" si="745"/>
        <v>0</v>
      </c>
      <c r="K274" s="28">
        <f t="shared" si="745"/>
        <v>0</v>
      </c>
      <c r="L274" s="28">
        <f t="shared" si="745"/>
        <v>0</v>
      </c>
      <c r="M274" s="28">
        <f t="shared" si="745"/>
        <v>0</v>
      </c>
      <c r="N274" s="28">
        <f t="shared" si="745"/>
        <v>0</v>
      </c>
      <c r="O274" s="28">
        <f t="shared" si="745"/>
        <v>0</v>
      </c>
      <c r="P274" s="28">
        <f t="shared" si="745"/>
        <v>0</v>
      </c>
      <c r="Q274" s="28">
        <f t="shared" si="745"/>
        <v>0</v>
      </c>
      <c r="R274" s="28">
        <f t="shared" si="745"/>
        <v>0</v>
      </c>
      <c r="S274" s="28">
        <f t="shared" si="745"/>
        <v>0</v>
      </c>
      <c r="T274" s="28">
        <f t="shared" si="745"/>
        <v>0</v>
      </c>
      <c r="U274" s="28">
        <f t="shared" si="745"/>
        <v>0</v>
      </c>
      <c r="V274" s="28">
        <f t="shared" si="745"/>
        <v>0</v>
      </c>
      <c r="W274" s="28">
        <f t="shared" si="745"/>
        <v>0</v>
      </c>
      <c r="X274" s="28">
        <f t="shared" si="745"/>
        <v>0</v>
      </c>
      <c r="Y274" s="28">
        <f t="shared" si="745"/>
        <v>0</v>
      </c>
      <c r="Z274" s="28">
        <f t="shared" si="745"/>
        <v>0</v>
      </c>
      <c r="AA274" s="28">
        <f t="shared" si="745"/>
        <v>0</v>
      </c>
      <c r="AB274" s="28">
        <f t="shared" si="745"/>
        <v>0</v>
      </c>
      <c r="AC274" s="28">
        <f t="shared" si="745"/>
        <v>0</v>
      </c>
      <c r="AD274" s="28">
        <f t="shared" si="745"/>
        <v>0</v>
      </c>
      <c r="AE274" s="28">
        <f t="shared" si="745"/>
        <v>0</v>
      </c>
      <c r="AF274" s="28">
        <f t="shared" si="745"/>
        <v>0</v>
      </c>
      <c r="AG274" s="28">
        <f t="shared" si="745"/>
        <v>0</v>
      </c>
      <c r="AH274" s="28">
        <f t="shared" si="745"/>
        <v>0</v>
      </c>
      <c r="AI274" s="28">
        <f t="shared" si="745"/>
        <v>0</v>
      </c>
      <c r="AJ274" s="28">
        <f t="shared" si="745"/>
        <v>0</v>
      </c>
      <c r="AK274" s="28">
        <f t="shared" si="745"/>
        <v>0</v>
      </c>
      <c r="AL274" s="28">
        <f t="shared" si="745"/>
        <v>0</v>
      </c>
      <c r="AM274" s="28">
        <f t="shared" si="745"/>
        <v>0</v>
      </c>
      <c r="AN274" s="28">
        <f t="shared" si="745"/>
        <v>0</v>
      </c>
      <c r="AO274" s="28">
        <f t="shared" si="745"/>
        <v>0</v>
      </c>
      <c r="AP274" s="28">
        <f t="shared" si="745"/>
        <v>0</v>
      </c>
      <c r="AQ274" s="28">
        <f t="shared" si="745"/>
        <v>0</v>
      </c>
      <c r="AR274" s="28">
        <f t="shared" si="745"/>
        <v>0</v>
      </c>
      <c r="AS274" s="28">
        <f t="shared" si="745"/>
        <v>0</v>
      </c>
      <c r="AT274" s="28">
        <f t="shared" si="745"/>
        <v>0</v>
      </c>
      <c r="AU274" s="28">
        <f t="shared" si="745"/>
        <v>0</v>
      </c>
      <c r="AV274" s="28">
        <f t="shared" si="745"/>
        <v>0</v>
      </c>
      <c r="AW274" s="28">
        <f t="shared" si="745"/>
        <v>0</v>
      </c>
      <c r="AX274" s="28">
        <f t="shared" si="745"/>
        <v>0</v>
      </c>
      <c r="AY274" s="28"/>
      <c r="AZ274" s="28">
        <f t="shared" si="745"/>
        <v>0</v>
      </c>
      <c r="BA274" s="28">
        <f t="shared" si="745"/>
        <v>0</v>
      </c>
      <c r="BB274" s="28">
        <f t="shared" si="745"/>
        <v>0</v>
      </c>
      <c r="BC274" s="28">
        <f t="shared" si="745"/>
        <v>0</v>
      </c>
      <c r="BD274" s="28">
        <f t="shared" si="745"/>
        <v>0</v>
      </c>
      <c r="BE274" s="28">
        <f t="shared" si="745"/>
        <v>0</v>
      </c>
      <c r="BF274" s="28">
        <f t="shared" si="745"/>
        <v>0</v>
      </c>
      <c r="BG274" s="28">
        <f t="shared" si="745"/>
        <v>0</v>
      </c>
      <c r="BH274" s="28">
        <f t="shared" si="745"/>
        <v>0</v>
      </c>
      <c r="BI274" s="28">
        <f t="shared" si="745"/>
        <v>0</v>
      </c>
      <c r="BJ274" s="28">
        <f t="shared" si="745"/>
        <v>0</v>
      </c>
      <c r="BK274" s="28">
        <f t="shared" si="745"/>
        <v>0</v>
      </c>
      <c r="BL274" s="28">
        <f t="shared" si="745"/>
        <v>0</v>
      </c>
      <c r="BM274" s="28">
        <f t="shared" si="745"/>
        <v>0</v>
      </c>
      <c r="BN274" s="28">
        <f t="shared" si="745"/>
        <v>0</v>
      </c>
      <c r="BO274" s="28">
        <f t="shared" si="745"/>
        <v>0</v>
      </c>
      <c r="BP274" s="28">
        <f t="shared" si="745"/>
        <v>0</v>
      </c>
      <c r="BQ274" s="28">
        <f t="shared" si="745"/>
        <v>0</v>
      </c>
      <c r="BR274" s="28">
        <f t="shared" si="745"/>
        <v>0</v>
      </c>
      <c r="BS274" s="28">
        <f t="shared" si="745"/>
        <v>0</v>
      </c>
      <c r="BT274" s="28">
        <f t="shared" si="745"/>
        <v>0</v>
      </c>
      <c r="BU274" s="28">
        <f t="shared" ref="BU274:CV275" si="746">SUM(BU275)</f>
        <v>0</v>
      </c>
      <c r="BV274" s="28">
        <f t="shared" si="746"/>
        <v>0</v>
      </c>
      <c r="BW274" s="28">
        <f t="shared" si="746"/>
        <v>0</v>
      </c>
      <c r="BX274" s="28">
        <f t="shared" si="746"/>
        <v>0</v>
      </c>
      <c r="BY274" s="28">
        <f t="shared" si="746"/>
        <v>0</v>
      </c>
      <c r="BZ274" s="28">
        <f t="shared" si="746"/>
        <v>0</v>
      </c>
      <c r="CA274" s="28">
        <f t="shared" si="746"/>
        <v>0</v>
      </c>
      <c r="CB274" s="28">
        <f t="shared" si="746"/>
        <v>0</v>
      </c>
      <c r="CC274" s="28">
        <f t="shared" si="746"/>
        <v>0</v>
      </c>
      <c r="CD274" s="28">
        <f t="shared" si="746"/>
        <v>0</v>
      </c>
      <c r="CE274" s="28">
        <f t="shared" si="746"/>
        <v>0</v>
      </c>
      <c r="CF274" s="28">
        <f t="shared" si="746"/>
        <v>0</v>
      </c>
      <c r="CG274" s="28">
        <f t="shared" si="746"/>
        <v>0</v>
      </c>
      <c r="CH274" s="28">
        <f t="shared" si="746"/>
        <v>0</v>
      </c>
      <c r="CI274" s="28">
        <f t="shared" si="746"/>
        <v>0</v>
      </c>
      <c r="CJ274" s="28">
        <f t="shared" si="746"/>
        <v>0</v>
      </c>
      <c r="CK274" s="28">
        <f t="shared" si="746"/>
        <v>0</v>
      </c>
      <c r="CL274" s="28">
        <f t="shared" si="746"/>
        <v>0</v>
      </c>
      <c r="CM274" s="28">
        <f t="shared" si="746"/>
        <v>0</v>
      </c>
      <c r="CN274" s="28"/>
      <c r="CO274" s="28">
        <f t="shared" si="746"/>
        <v>0</v>
      </c>
      <c r="CP274" s="75"/>
      <c r="CQ274" s="75"/>
      <c r="CR274" s="75"/>
      <c r="CS274" s="28">
        <f t="shared" si="746"/>
        <v>0</v>
      </c>
      <c r="CT274" s="28">
        <f t="shared" si="746"/>
        <v>0</v>
      </c>
      <c r="CU274" s="28">
        <f t="shared" si="746"/>
        <v>0</v>
      </c>
      <c r="CV274" s="29">
        <f t="shared" si="746"/>
        <v>0</v>
      </c>
    </row>
    <row r="275" spans="1:101" s="57" customFormat="1" ht="31.5" hidden="1" customHeight="1" x14ac:dyDescent="0.3">
      <c r="A275" s="104" t="s">
        <v>300</v>
      </c>
      <c r="B275" s="16" t="s">
        <v>1</v>
      </c>
      <c r="C275" s="17" t="s">
        <v>301</v>
      </c>
      <c r="D275" s="18">
        <f>SUM(D276)</f>
        <v>0</v>
      </c>
      <c r="E275" s="18">
        <f t="shared" si="745"/>
        <v>0</v>
      </c>
      <c r="F275" s="18">
        <f t="shared" si="745"/>
        <v>0</v>
      </c>
      <c r="G275" s="18">
        <f t="shared" si="745"/>
        <v>0</v>
      </c>
      <c r="H275" s="18">
        <f t="shared" si="745"/>
        <v>0</v>
      </c>
      <c r="I275" s="18">
        <f t="shared" si="745"/>
        <v>0</v>
      </c>
      <c r="J275" s="18">
        <f t="shared" si="745"/>
        <v>0</v>
      </c>
      <c r="K275" s="18">
        <f t="shared" si="745"/>
        <v>0</v>
      </c>
      <c r="L275" s="18">
        <f t="shared" si="745"/>
        <v>0</v>
      </c>
      <c r="M275" s="18">
        <f t="shared" si="745"/>
        <v>0</v>
      </c>
      <c r="N275" s="18">
        <f t="shared" si="745"/>
        <v>0</v>
      </c>
      <c r="O275" s="18">
        <f t="shared" si="745"/>
        <v>0</v>
      </c>
      <c r="P275" s="18">
        <f t="shared" si="745"/>
        <v>0</v>
      </c>
      <c r="Q275" s="18">
        <f t="shared" si="745"/>
        <v>0</v>
      </c>
      <c r="R275" s="18">
        <f t="shared" si="745"/>
        <v>0</v>
      </c>
      <c r="S275" s="18">
        <f t="shared" si="745"/>
        <v>0</v>
      </c>
      <c r="T275" s="18">
        <f t="shared" si="745"/>
        <v>0</v>
      </c>
      <c r="U275" s="18">
        <f t="shared" si="745"/>
        <v>0</v>
      </c>
      <c r="V275" s="18">
        <f t="shared" si="745"/>
        <v>0</v>
      </c>
      <c r="W275" s="18">
        <f t="shared" si="745"/>
        <v>0</v>
      </c>
      <c r="X275" s="18">
        <f t="shared" si="745"/>
        <v>0</v>
      </c>
      <c r="Y275" s="18">
        <f t="shared" si="745"/>
        <v>0</v>
      </c>
      <c r="Z275" s="18">
        <f t="shared" si="745"/>
        <v>0</v>
      </c>
      <c r="AA275" s="18">
        <f t="shared" si="745"/>
        <v>0</v>
      </c>
      <c r="AB275" s="18">
        <f t="shared" si="745"/>
        <v>0</v>
      </c>
      <c r="AC275" s="18">
        <f t="shared" si="745"/>
        <v>0</v>
      </c>
      <c r="AD275" s="18">
        <f t="shared" si="745"/>
        <v>0</v>
      </c>
      <c r="AE275" s="18">
        <f t="shared" si="745"/>
        <v>0</v>
      </c>
      <c r="AF275" s="18">
        <f t="shared" si="745"/>
        <v>0</v>
      </c>
      <c r="AG275" s="18">
        <f t="shared" si="745"/>
        <v>0</v>
      </c>
      <c r="AH275" s="18">
        <f t="shared" si="745"/>
        <v>0</v>
      </c>
      <c r="AI275" s="18">
        <f t="shared" si="745"/>
        <v>0</v>
      </c>
      <c r="AJ275" s="18">
        <f t="shared" si="745"/>
        <v>0</v>
      </c>
      <c r="AK275" s="18">
        <f t="shared" si="745"/>
        <v>0</v>
      </c>
      <c r="AL275" s="18">
        <f t="shared" si="745"/>
        <v>0</v>
      </c>
      <c r="AM275" s="18">
        <f t="shared" si="745"/>
        <v>0</v>
      </c>
      <c r="AN275" s="18">
        <f t="shared" si="745"/>
        <v>0</v>
      </c>
      <c r="AO275" s="18">
        <f t="shared" si="745"/>
        <v>0</v>
      </c>
      <c r="AP275" s="18">
        <f t="shared" si="745"/>
        <v>0</v>
      </c>
      <c r="AQ275" s="18">
        <f t="shared" si="745"/>
        <v>0</v>
      </c>
      <c r="AR275" s="18">
        <f t="shared" si="745"/>
        <v>0</v>
      </c>
      <c r="AS275" s="18">
        <f t="shared" si="745"/>
        <v>0</v>
      </c>
      <c r="AT275" s="18">
        <f t="shared" si="745"/>
        <v>0</v>
      </c>
      <c r="AU275" s="18">
        <f t="shared" si="745"/>
        <v>0</v>
      </c>
      <c r="AV275" s="18">
        <f t="shared" si="745"/>
        <v>0</v>
      </c>
      <c r="AW275" s="18">
        <f t="shared" si="745"/>
        <v>0</v>
      </c>
      <c r="AX275" s="18">
        <f t="shared" si="745"/>
        <v>0</v>
      </c>
      <c r="AY275" s="18"/>
      <c r="AZ275" s="18">
        <f t="shared" si="745"/>
        <v>0</v>
      </c>
      <c r="BA275" s="18">
        <f t="shared" si="745"/>
        <v>0</v>
      </c>
      <c r="BB275" s="18">
        <f t="shared" si="745"/>
        <v>0</v>
      </c>
      <c r="BC275" s="18">
        <f t="shared" si="745"/>
        <v>0</v>
      </c>
      <c r="BD275" s="18">
        <f t="shared" si="745"/>
        <v>0</v>
      </c>
      <c r="BE275" s="18">
        <f t="shared" si="745"/>
        <v>0</v>
      </c>
      <c r="BF275" s="18">
        <f t="shared" si="745"/>
        <v>0</v>
      </c>
      <c r="BG275" s="18">
        <f t="shared" si="745"/>
        <v>0</v>
      </c>
      <c r="BH275" s="18">
        <f t="shared" si="745"/>
        <v>0</v>
      </c>
      <c r="BI275" s="18">
        <f t="shared" si="745"/>
        <v>0</v>
      </c>
      <c r="BJ275" s="18">
        <f t="shared" si="745"/>
        <v>0</v>
      </c>
      <c r="BK275" s="18">
        <f t="shared" si="745"/>
        <v>0</v>
      </c>
      <c r="BL275" s="18">
        <f t="shared" si="745"/>
        <v>0</v>
      </c>
      <c r="BM275" s="18">
        <f t="shared" si="745"/>
        <v>0</v>
      </c>
      <c r="BN275" s="18">
        <f t="shared" si="745"/>
        <v>0</v>
      </c>
      <c r="BO275" s="18">
        <f t="shared" si="745"/>
        <v>0</v>
      </c>
      <c r="BP275" s="18">
        <f t="shared" si="745"/>
        <v>0</v>
      </c>
      <c r="BQ275" s="18">
        <f t="shared" si="745"/>
        <v>0</v>
      </c>
      <c r="BR275" s="18">
        <f t="shared" si="745"/>
        <v>0</v>
      </c>
      <c r="BS275" s="18">
        <f t="shared" si="745"/>
        <v>0</v>
      </c>
      <c r="BT275" s="18">
        <f t="shared" si="745"/>
        <v>0</v>
      </c>
      <c r="BU275" s="18">
        <f t="shared" si="746"/>
        <v>0</v>
      </c>
      <c r="BV275" s="18">
        <f t="shared" si="746"/>
        <v>0</v>
      </c>
      <c r="BW275" s="18">
        <f t="shared" si="746"/>
        <v>0</v>
      </c>
      <c r="BX275" s="18">
        <f t="shared" si="746"/>
        <v>0</v>
      </c>
      <c r="BY275" s="18">
        <f t="shared" si="746"/>
        <v>0</v>
      </c>
      <c r="BZ275" s="18">
        <f t="shared" si="746"/>
        <v>0</v>
      </c>
      <c r="CA275" s="18">
        <f t="shared" si="746"/>
        <v>0</v>
      </c>
      <c r="CB275" s="18">
        <f t="shared" si="746"/>
        <v>0</v>
      </c>
      <c r="CC275" s="18">
        <f t="shared" si="746"/>
        <v>0</v>
      </c>
      <c r="CD275" s="18">
        <f t="shared" si="746"/>
        <v>0</v>
      </c>
      <c r="CE275" s="18">
        <f t="shared" si="746"/>
        <v>0</v>
      </c>
      <c r="CF275" s="18">
        <f t="shared" si="746"/>
        <v>0</v>
      </c>
      <c r="CG275" s="18">
        <f t="shared" si="746"/>
        <v>0</v>
      </c>
      <c r="CH275" s="18">
        <f t="shared" si="746"/>
        <v>0</v>
      </c>
      <c r="CI275" s="18">
        <f t="shared" si="746"/>
        <v>0</v>
      </c>
      <c r="CJ275" s="18">
        <f t="shared" si="746"/>
        <v>0</v>
      </c>
      <c r="CK275" s="18">
        <f t="shared" si="746"/>
        <v>0</v>
      </c>
      <c r="CL275" s="18">
        <f t="shared" si="746"/>
        <v>0</v>
      </c>
      <c r="CM275" s="18">
        <f t="shared" si="746"/>
        <v>0</v>
      </c>
      <c r="CN275" s="18"/>
      <c r="CO275" s="18">
        <f t="shared" si="746"/>
        <v>0</v>
      </c>
      <c r="CP275" s="74"/>
      <c r="CQ275" s="74"/>
      <c r="CR275" s="74"/>
      <c r="CS275" s="18">
        <f t="shared" si="746"/>
        <v>0</v>
      </c>
      <c r="CT275" s="18">
        <f t="shared" si="746"/>
        <v>0</v>
      </c>
      <c r="CU275" s="18">
        <f t="shared" si="746"/>
        <v>0</v>
      </c>
      <c r="CV275" s="46">
        <f t="shared" si="746"/>
        <v>0</v>
      </c>
    </row>
    <row r="276" spans="1:101" s="57" customFormat="1" ht="15.6" hidden="1" x14ac:dyDescent="0.3">
      <c r="A276" s="105" t="s">
        <v>1</v>
      </c>
      <c r="B276" s="21" t="s">
        <v>77</v>
      </c>
      <c r="C276" s="22" t="s">
        <v>301</v>
      </c>
      <c r="D276" s="18">
        <f>SUM(E276+BZ276+CS276)</f>
        <v>0</v>
      </c>
      <c r="E276" s="19">
        <f>SUM(F276+BA276)</f>
        <v>0</v>
      </c>
      <c r="F276" s="19">
        <f>SUM(G276+H276+I276+P276+S276+T276+U276+AE276+AD276)</f>
        <v>0</v>
      </c>
      <c r="G276" s="19">
        <v>0</v>
      </c>
      <c r="H276" s="19">
        <v>0</v>
      </c>
      <c r="I276" s="19">
        <f t="shared" si="584"/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f t="shared" si="585"/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f t="shared" ref="U276" si="747">SUM(V276:AC276)</f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f>SUM(AF276:AZ276)</f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v>0</v>
      </c>
      <c r="AV276" s="19">
        <v>0</v>
      </c>
      <c r="AW276" s="19">
        <v>0</v>
      </c>
      <c r="AX276" s="19">
        <v>0</v>
      </c>
      <c r="AY276" s="19"/>
      <c r="AZ276" s="19">
        <v>0</v>
      </c>
      <c r="BA276" s="19">
        <f>SUM(BB276+BF276+BI276+BK276+BN276)</f>
        <v>0</v>
      </c>
      <c r="BB276" s="19">
        <f>SUM(BC276:BE276)</f>
        <v>0</v>
      </c>
      <c r="BC276" s="19">
        <v>0</v>
      </c>
      <c r="BD276" s="19">
        <v>0</v>
      </c>
      <c r="BE276" s="19">
        <v>0</v>
      </c>
      <c r="BF276" s="19">
        <f>SUM(BH276:BH276)</f>
        <v>0</v>
      </c>
      <c r="BG276" s="19">
        <v>0</v>
      </c>
      <c r="BH276" s="19">
        <v>0</v>
      </c>
      <c r="BI276" s="19">
        <v>0</v>
      </c>
      <c r="BJ276" s="19">
        <v>0</v>
      </c>
      <c r="BK276" s="19">
        <f t="shared" si="587"/>
        <v>0</v>
      </c>
      <c r="BL276" s="19">
        <v>0</v>
      </c>
      <c r="BM276" s="19">
        <v>0</v>
      </c>
      <c r="BN276" s="19">
        <f>SUM(BO276:BY276)</f>
        <v>0</v>
      </c>
      <c r="BO276" s="19">
        <v>0</v>
      </c>
      <c r="BP276" s="19">
        <v>0</v>
      </c>
      <c r="BQ276" s="19">
        <v>0</v>
      </c>
      <c r="BR276" s="19">
        <v>0</v>
      </c>
      <c r="BS276" s="19">
        <v>0</v>
      </c>
      <c r="BT276" s="19">
        <v>0</v>
      </c>
      <c r="BU276" s="19">
        <v>0</v>
      </c>
      <c r="BV276" s="19">
        <v>0</v>
      </c>
      <c r="BW276" s="19">
        <v>0</v>
      </c>
      <c r="BX276" s="19">
        <v>0</v>
      </c>
      <c r="BY276" s="19">
        <v>0</v>
      </c>
      <c r="BZ276" s="19">
        <f>SUM(CA276+CO276)</f>
        <v>0</v>
      </c>
      <c r="CA276" s="19">
        <f>SUM(CB276+CE276+CK276)</f>
        <v>0</v>
      </c>
      <c r="CB276" s="19">
        <f t="shared" si="588"/>
        <v>0</v>
      </c>
      <c r="CC276" s="19">
        <v>0</v>
      </c>
      <c r="CD276" s="19">
        <v>0</v>
      </c>
      <c r="CE276" s="19">
        <f>SUM(CF276:CJ276)</f>
        <v>0</v>
      </c>
      <c r="CF276" s="19">
        <v>0</v>
      </c>
      <c r="CG276" s="19">
        <v>0</v>
      </c>
      <c r="CH276" s="19">
        <v>0</v>
      </c>
      <c r="CI276" s="19">
        <v>0</v>
      </c>
      <c r="CJ276" s="19">
        <v>0</v>
      </c>
      <c r="CK276" s="19">
        <f>SUM(CL276:CN276)</f>
        <v>0</v>
      </c>
      <c r="CL276" s="19">
        <v>0</v>
      </c>
      <c r="CM276" s="19">
        <v>0</v>
      </c>
      <c r="CN276" s="19"/>
      <c r="CO276" s="19">
        <v>0</v>
      </c>
      <c r="CP276" s="75"/>
      <c r="CQ276" s="75"/>
      <c r="CR276" s="75"/>
      <c r="CS276" s="19">
        <f t="shared" si="589"/>
        <v>0</v>
      </c>
      <c r="CT276" s="19">
        <f t="shared" si="590"/>
        <v>0</v>
      </c>
      <c r="CU276" s="19">
        <v>0</v>
      </c>
      <c r="CV276" s="20"/>
      <c r="CW276" s="52"/>
    </row>
    <row r="277" spans="1:101" s="52" customFormat="1" ht="15.6" x14ac:dyDescent="0.3">
      <c r="A277" s="106" t="s">
        <v>302</v>
      </c>
      <c r="B277" s="25" t="s">
        <v>1</v>
      </c>
      <c r="C277" s="26" t="s">
        <v>303</v>
      </c>
      <c r="D277" s="27">
        <f t="shared" ref="D277:AX277" si="748">SUM(D290+D301+D292+D295+D297+D299+D303+D278)</f>
        <v>485713502</v>
      </c>
      <c r="E277" s="27">
        <f t="shared" si="748"/>
        <v>317114784</v>
      </c>
      <c r="F277" s="27">
        <f t="shared" si="748"/>
        <v>35548908</v>
      </c>
      <c r="G277" s="27">
        <f t="shared" si="748"/>
        <v>0</v>
      </c>
      <c r="H277" s="27">
        <f t="shared" si="748"/>
        <v>0</v>
      </c>
      <c r="I277" s="27">
        <f t="shared" si="748"/>
        <v>0</v>
      </c>
      <c r="J277" s="27">
        <f t="shared" si="748"/>
        <v>0</v>
      </c>
      <c r="K277" s="27">
        <f t="shared" si="748"/>
        <v>0</v>
      </c>
      <c r="L277" s="27">
        <f t="shared" si="748"/>
        <v>0</v>
      </c>
      <c r="M277" s="27">
        <f t="shared" si="748"/>
        <v>0</v>
      </c>
      <c r="N277" s="27">
        <f t="shared" si="748"/>
        <v>0</v>
      </c>
      <c r="O277" s="27">
        <f t="shared" si="748"/>
        <v>0</v>
      </c>
      <c r="P277" s="27">
        <f t="shared" si="748"/>
        <v>0</v>
      </c>
      <c r="Q277" s="27">
        <f t="shared" si="748"/>
        <v>0</v>
      </c>
      <c r="R277" s="27">
        <f t="shared" si="748"/>
        <v>0</v>
      </c>
      <c r="S277" s="27">
        <f t="shared" si="748"/>
        <v>0</v>
      </c>
      <c r="T277" s="27">
        <f t="shared" si="748"/>
        <v>0</v>
      </c>
      <c r="U277" s="27">
        <f t="shared" si="748"/>
        <v>0</v>
      </c>
      <c r="V277" s="27">
        <f t="shared" si="748"/>
        <v>0</v>
      </c>
      <c r="W277" s="27">
        <f t="shared" si="748"/>
        <v>0</v>
      </c>
      <c r="X277" s="27">
        <f t="shared" si="748"/>
        <v>0</v>
      </c>
      <c r="Y277" s="27">
        <f t="shared" si="748"/>
        <v>0</v>
      </c>
      <c r="Z277" s="27">
        <f t="shared" si="748"/>
        <v>0</v>
      </c>
      <c r="AA277" s="27">
        <f t="shared" si="748"/>
        <v>0</v>
      </c>
      <c r="AB277" s="27">
        <f t="shared" si="748"/>
        <v>0</v>
      </c>
      <c r="AC277" s="27">
        <f t="shared" si="748"/>
        <v>0</v>
      </c>
      <c r="AD277" s="27">
        <f t="shared" si="748"/>
        <v>0</v>
      </c>
      <c r="AE277" s="27">
        <f t="shared" si="748"/>
        <v>35548908</v>
      </c>
      <c r="AF277" s="27">
        <f t="shared" si="748"/>
        <v>0</v>
      </c>
      <c r="AG277" s="27">
        <f t="shared" si="748"/>
        <v>0</v>
      </c>
      <c r="AH277" s="27">
        <f t="shared" si="748"/>
        <v>0</v>
      </c>
      <c r="AI277" s="27">
        <f t="shared" si="748"/>
        <v>0</v>
      </c>
      <c r="AJ277" s="27">
        <f t="shared" si="748"/>
        <v>0</v>
      </c>
      <c r="AK277" s="27">
        <f t="shared" si="748"/>
        <v>0</v>
      </c>
      <c r="AL277" s="27">
        <f t="shared" si="748"/>
        <v>0</v>
      </c>
      <c r="AM277" s="27">
        <f t="shared" si="748"/>
        <v>0</v>
      </c>
      <c r="AN277" s="27">
        <f t="shared" si="748"/>
        <v>0</v>
      </c>
      <c r="AO277" s="27">
        <f t="shared" si="748"/>
        <v>0</v>
      </c>
      <c r="AP277" s="27">
        <f t="shared" si="748"/>
        <v>0</v>
      </c>
      <c r="AQ277" s="27">
        <f t="shared" si="748"/>
        <v>0</v>
      </c>
      <c r="AR277" s="27">
        <f t="shared" si="748"/>
        <v>0</v>
      </c>
      <c r="AS277" s="27">
        <f t="shared" si="748"/>
        <v>0</v>
      </c>
      <c r="AT277" s="27">
        <f t="shared" si="748"/>
        <v>0</v>
      </c>
      <c r="AU277" s="27">
        <f t="shared" si="748"/>
        <v>0</v>
      </c>
      <c r="AV277" s="27">
        <f t="shared" si="748"/>
        <v>0</v>
      </c>
      <c r="AW277" s="27">
        <f t="shared" si="748"/>
        <v>0</v>
      </c>
      <c r="AX277" s="27">
        <f t="shared" si="748"/>
        <v>0</v>
      </c>
      <c r="AY277" s="27"/>
      <c r="AZ277" s="27">
        <f t="shared" ref="AZ277:CE277" si="749">SUM(AZ290+AZ301+AZ292+AZ295+AZ297+AZ299+AZ303+AZ278)</f>
        <v>35548908</v>
      </c>
      <c r="BA277" s="27">
        <f t="shared" si="749"/>
        <v>281565876</v>
      </c>
      <c r="BB277" s="27">
        <f t="shared" si="749"/>
        <v>46206656</v>
      </c>
      <c r="BC277" s="27">
        <f t="shared" si="749"/>
        <v>46206656</v>
      </c>
      <c r="BD277" s="27">
        <f t="shared" si="749"/>
        <v>0</v>
      </c>
      <c r="BE277" s="27">
        <f t="shared" si="749"/>
        <v>0</v>
      </c>
      <c r="BF277" s="27">
        <f t="shared" si="749"/>
        <v>29331374</v>
      </c>
      <c r="BG277" s="27">
        <f t="shared" si="749"/>
        <v>21759075</v>
      </c>
      <c r="BH277" s="27">
        <f t="shared" si="749"/>
        <v>7572299</v>
      </c>
      <c r="BI277" s="27">
        <f t="shared" si="749"/>
        <v>174266519</v>
      </c>
      <c r="BJ277" s="27">
        <f t="shared" si="749"/>
        <v>0</v>
      </c>
      <c r="BK277" s="27">
        <f t="shared" si="749"/>
        <v>0</v>
      </c>
      <c r="BL277" s="27">
        <f t="shared" si="749"/>
        <v>0</v>
      </c>
      <c r="BM277" s="27">
        <f t="shared" si="749"/>
        <v>0</v>
      </c>
      <c r="BN277" s="27">
        <f t="shared" si="749"/>
        <v>31761327</v>
      </c>
      <c r="BO277" s="27">
        <f t="shared" si="749"/>
        <v>0</v>
      </c>
      <c r="BP277" s="27">
        <f t="shared" si="749"/>
        <v>0</v>
      </c>
      <c r="BQ277" s="27">
        <f t="shared" si="749"/>
        <v>0</v>
      </c>
      <c r="BR277" s="27">
        <f t="shared" si="749"/>
        <v>0</v>
      </c>
      <c r="BS277" s="27">
        <f t="shared" si="749"/>
        <v>0</v>
      </c>
      <c r="BT277" s="27">
        <f t="shared" si="749"/>
        <v>0</v>
      </c>
      <c r="BU277" s="27">
        <f t="shared" si="749"/>
        <v>0</v>
      </c>
      <c r="BV277" s="27">
        <f t="shared" si="749"/>
        <v>0</v>
      </c>
      <c r="BW277" s="27">
        <f t="shared" si="749"/>
        <v>0</v>
      </c>
      <c r="BX277" s="27">
        <f t="shared" si="749"/>
        <v>0</v>
      </c>
      <c r="BY277" s="27">
        <f t="shared" si="749"/>
        <v>31761327</v>
      </c>
      <c r="BZ277" s="27">
        <f t="shared" si="749"/>
        <v>168598718</v>
      </c>
      <c r="CA277" s="27">
        <f t="shared" si="749"/>
        <v>165914220</v>
      </c>
      <c r="CB277" s="27">
        <f t="shared" si="749"/>
        <v>0</v>
      </c>
      <c r="CC277" s="27">
        <f t="shared" si="749"/>
        <v>0</v>
      </c>
      <c r="CD277" s="27">
        <f t="shared" si="749"/>
        <v>0</v>
      </c>
      <c r="CE277" s="27">
        <f t="shared" si="749"/>
        <v>92573346</v>
      </c>
      <c r="CF277" s="27">
        <f t="shared" ref="CF277:CV277" si="750">SUM(CF290+CF301+CF292+CF295+CF297+CF299+CF303+CF278)</f>
        <v>0</v>
      </c>
      <c r="CG277" s="27">
        <f t="shared" si="750"/>
        <v>84482563</v>
      </c>
      <c r="CH277" s="27">
        <f t="shared" si="750"/>
        <v>2424997</v>
      </c>
      <c r="CI277" s="27">
        <f t="shared" si="750"/>
        <v>4810080</v>
      </c>
      <c r="CJ277" s="27">
        <f t="shared" si="750"/>
        <v>855706</v>
      </c>
      <c r="CK277" s="27">
        <f t="shared" si="750"/>
        <v>73340874</v>
      </c>
      <c r="CL277" s="27">
        <f t="shared" si="750"/>
        <v>59644529</v>
      </c>
      <c r="CM277" s="27">
        <f t="shared" si="750"/>
        <v>13696345</v>
      </c>
      <c r="CN277" s="27">
        <f t="shared" si="750"/>
        <v>0</v>
      </c>
      <c r="CO277" s="27">
        <f t="shared" si="750"/>
        <v>2684498</v>
      </c>
      <c r="CP277" s="27">
        <f t="shared" si="750"/>
        <v>0</v>
      </c>
      <c r="CQ277" s="27">
        <f t="shared" si="750"/>
        <v>0</v>
      </c>
      <c r="CR277" s="27">
        <f t="shared" si="750"/>
        <v>0</v>
      </c>
      <c r="CS277" s="27">
        <f t="shared" si="750"/>
        <v>0</v>
      </c>
      <c r="CT277" s="27">
        <f t="shared" si="750"/>
        <v>0</v>
      </c>
      <c r="CU277" s="27">
        <f t="shared" si="750"/>
        <v>0</v>
      </c>
      <c r="CV277" s="60">
        <f t="shared" si="750"/>
        <v>0</v>
      </c>
      <c r="CW277" s="57"/>
    </row>
    <row r="278" spans="1:101" s="52" customFormat="1" ht="15.6" x14ac:dyDescent="0.3">
      <c r="A278" s="104" t="s">
        <v>304</v>
      </c>
      <c r="B278" s="16" t="s">
        <v>1</v>
      </c>
      <c r="C278" s="30" t="s">
        <v>305</v>
      </c>
      <c r="D278" s="18">
        <f>SUM(D279:D289)</f>
        <v>196025594</v>
      </c>
      <c r="E278" s="18">
        <f t="shared" ref="E278:BP278" si="751">SUM(E279:E289)</f>
        <v>196025594</v>
      </c>
      <c r="F278" s="18">
        <f t="shared" si="751"/>
        <v>0</v>
      </c>
      <c r="G278" s="18">
        <f t="shared" si="751"/>
        <v>0</v>
      </c>
      <c r="H278" s="18">
        <f t="shared" si="751"/>
        <v>0</v>
      </c>
      <c r="I278" s="18">
        <f t="shared" si="751"/>
        <v>0</v>
      </c>
      <c r="J278" s="18">
        <f t="shared" si="751"/>
        <v>0</v>
      </c>
      <c r="K278" s="18">
        <f t="shared" si="751"/>
        <v>0</v>
      </c>
      <c r="L278" s="18">
        <f t="shared" si="751"/>
        <v>0</v>
      </c>
      <c r="M278" s="18">
        <f t="shared" si="751"/>
        <v>0</v>
      </c>
      <c r="N278" s="18">
        <f t="shared" si="751"/>
        <v>0</v>
      </c>
      <c r="O278" s="18">
        <f t="shared" si="751"/>
        <v>0</v>
      </c>
      <c r="P278" s="18">
        <f t="shared" si="751"/>
        <v>0</v>
      </c>
      <c r="Q278" s="18">
        <f t="shared" si="751"/>
        <v>0</v>
      </c>
      <c r="R278" s="18">
        <f t="shared" si="751"/>
        <v>0</v>
      </c>
      <c r="S278" s="18">
        <f t="shared" si="751"/>
        <v>0</v>
      </c>
      <c r="T278" s="18">
        <f t="shared" si="751"/>
        <v>0</v>
      </c>
      <c r="U278" s="18">
        <f t="shared" si="751"/>
        <v>0</v>
      </c>
      <c r="V278" s="18">
        <f t="shared" si="751"/>
        <v>0</v>
      </c>
      <c r="W278" s="18">
        <f t="shared" si="751"/>
        <v>0</v>
      </c>
      <c r="X278" s="18">
        <f t="shared" si="751"/>
        <v>0</v>
      </c>
      <c r="Y278" s="18">
        <f t="shared" si="751"/>
        <v>0</v>
      </c>
      <c r="Z278" s="18">
        <f t="shared" si="751"/>
        <v>0</v>
      </c>
      <c r="AA278" s="18">
        <f t="shared" si="751"/>
        <v>0</v>
      </c>
      <c r="AB278" s="18">
        <f t="shared" si="751"/>
        <v>0</v>
      </c>
      <c r="AC278" s="18">
        <f t="shared" si="751"/>
        <v>0</v>
      </c>
      <c r="AD278" s="18">
        <f t="shared" si="751"/>
        <v>0</v>
      </c>
      <c r="AE278" s="18">
        <f t="shared" si="751"/>
        <v>0</v>
      </c>
      <c r="AF278" s="18">
        <f t="shared" si="751"/>
        <v>0</v>
      </c>
      <c r="AG278" s="18">
        <f t="shared" si="751"/>
        <v>0</v>
      </c>
      <c r="AH278" s="18">
        <f t="shared" si="751"/>
        <v>0</v>
      </c>
      <c r="AI278" s="18">
        <f t="shared" si="751"/>
        <v>0</v>
      </c>
      <c r="AJ278" s="18">
        <f t="shared" si="751"/>
        <v>0</v>
      </c>
      <c r="AK278" s="18">
        <f t="shared" si="751"/>
        <v>0</v>
      </c>
      <c r="AL278" s="18">
        <f t="shared" si="751"/>
        <v>0</v>
      </c>
      <c r="AM278" s="18">
        <f t="shared" si="751"/>
        <v>0</v>
      </c>
      <c r="AN278" s="18">
        <f t="shared" si="751"/>
        <v>0</v>
      </c>
      <c r="AO278" s="18">
        <f t="shared" si="751"/>
        <v>0</v>
      </c>
      <c r="AP278" s="18">
        <f t="shared" si="751"/>
        <v>0</v>
      </c>
      <c r="AQ278" s="18">
        <f t="shared" si="751"/>
        <v>0</v>
      </c>
      <c r="AR278" s="18">
        <f t="shared" si="751"/>
        <v>0</v>
      </c>
      <c r="AS278" s="18">
        <f t="shared" si="751"/>
        <v>0</v>
      </c>
      <c r="AT278" s="18">
        <f t="shared" si="751"/>
        <v>0</v>
      </c>
      <c r="AU278" s="18">
        <f t="shared" si="751"/>
        <v>0</v>
      </c>
      <c r="AV278" s="18">
        <f t="shared" si="751"/>
        <v>0</v>
      </c>
      <c r="AW278" s="18">
        <f t="shared" si="751"/>
        <v>0</v>
      </c>
      <c r="AX278" s="18">
        <f t="shared" si="751"/>
        <v>0</v>
      </c>
      <c r="AY278" s="18">
        <f t="shared" si="751"/>
        <v>0</v>
      </c>
      <c r="AZ278" s="18">
        <f t="shared" si="751"/>
        <v>0</v>
      </c>
      <c r="BA278" s="18">
        <f t="shared" si="751"/>
        <v>196025594</v>
      </c>
      <c r="BB278" s="18">
        <f t="shared" si="751"/>
        <v>0</v>
      </c>
      <c r="BC278" s="18">
        <f t="shared" si="751"/>
        <v>0</v>
      </c>
      <c r="BD278" s="18">
        <f t="shared" si="751"/>
        <v>0</v>
      </c>
      <c r="BE278" s="18">
        <f t="shared" si="751"/>
        <v>0</v>
      </c>
      <c r="BF278" s="18">
        <f t="shared" si="751"/>
        <v>21759075</v>
      </c>
      <c r="BG278" s="18">
        <f t="shared" si="751"/>
        <v>21759075</v>
      </c>
      <c r="BH278" s="18">
        <f t="shared" si="751"/>
        <v>0</v>
      </c>
      <c r="BI278" s="18">
        <f t="shared" si="751"/>
        <v>174266519</v>
      </c>
      <c r="BJ278" s="18">
        <f t="shared" si="751"/>
        <v>0</v>
      </c>
      <c r="BK278" s="18">
        <f t="shared" si="751"/>
        <v>0</v>
      </c>
      <c r="BL278" s="18">
        <f t="shared" si="751"/>
        <v>0</v>
      </c>
      <c r="BM278" s="18">
        <f t="shared" si="751"/>
        <v>0</v>
      </c>
      <c r="BN278" s="18">
        <f t="shared" si="751"/>
        <v>0</v>
      </c>
      <c r="BO278" s="18">
        <f t="shared" si="751"/>
        <v>0</v>
      </c>
      <c r="BP278" s="18">
        <f t="shared" si="751"/>
        <v>0</v>
      </c>
      <c r="BQ278" s="18">
        <f t="shared" ref="BQ278:CO278" si="752">SUM(BQ279:BQ289)</f>
        <v>0</v>
      </c>
      <c r="BR278" s="18">
        <f t="shared" si="752"/>
        <v>0</v>
      </c>
      <c r="BS278" s="18">
        <f t="shared" si="752"/>
        <v>0</v>
      </c>
      <c r="BT278" s="18">
        <f t="shared" si="752"/>
        <v>0</v>
      </c>
      <c r="BU278" s="18">
        <f t="shared" si="752"/>
        <v>0</v>
      </c>
      <c r="BV278" s="18">
        <f t="shared" si="752"/>
        <v>0</v>
      </c>
      <c r="BW278" s="18">
        <f t="shared" si="752"/>
        <v>0</v>
      </c>
      <c r="BX278" s="18">
        <f t="shared" si="752"/>
        <v>0</v>
      </c>
      <c r="BY278" s="18">
        <f t="shared" si="752"/>
        <v>0</v>
      </c>
      <c r="BZ278" s="18">
        <f t="shared" si="752"/>
        <v>0</v>
      </c>
      <c r="CA278" s="18">
        <f t="shared" si="752"/>
        <v>0</v>
      </c>
      <c r="CB278" s="18">
        <f t="shared" si="752"/>
        <v>0</v>
      </c>
      <c r="CC278" s="18">
        <f t="shared" si="752"/>
        <v>0</v>
      </c>
      <c r="CD278" s="18">
        <f t="shared" si="752"/>
        <v>0</v>
      </c>
      <c r="CE278" s="18">
        <f t="shared" si="752"/>
        <v>0</v>
      </c>
      <c r="CF278" s="18">
        <f t="shared" si="752"/>
        <v>0</v>
      </c>
      <c r="CG278" s="18">
        <f t="shared" si="752"/>
        <v>0</v>
      </c>
      <c r="CH278" s="18">
        <f t="shared" si="752"/>
        <v>0</v>
      </c>
      <c r="CI278" s="18">
        <f t="shared" si="752"/>
        <v>0</v>
      </c>
      <c r="CJ278" s="18">
        <f t="shared" si="752"/>
        <v>0</v>
      </c>
      <c r="CK278" s="18">
        <f t="shared" si="752"/>
        <v>0</v>
      </c>
      <c r="CL278" s="18">
        <f t="shared" si="752"/>
        <v>0</v>
      </c>
      <c r="CM278" s="18">
        <f t="shared" si="752"/>
        <v>0</v>
      </c>
      <c r="CN278" s="18">
        <f t="shared" si="752"/>
        <v>0</v>
      </c>
      <c r="CO278" s="18">
        <f t="shared" si="752"/>
        <v>0</v>
      </c>
      <c r="CP278" s="74"/>
      <c r="CQ278" s="74"/>
      <c r="CR278" s="74"/>
      <c r="CS278" s="18">
        <f t="shared" ref="CS278:CV278" si="753">SUM(CS279:CS288)</f>
        <v>0</v>
      </c>
      <c r="CT278" s="18">
        <f t="shared" si="753"/>
        <v>0</v>
      </c>
      <c r="CU278" s="18">
        <f t="shared" si="753"/>
        <v>0</v>
      </c>
      <c r="CV278" s="46">
        <f t="shared" si="753"/>
        <v>0</v>
      </c>
      <c r="CW278" s="57"/>
    </row>
    <row r="279" spans="1:101" s="52" customFormat="1" ht="31.2" x14ac:dyDescent="0.3">
      <c r="A279" s="108"/>
      <c r="B279" s="42" t="s">
        <v>306</v>
      </c>
      <c r="C279" s="43" t="s">
        <v>463</v>
      </c>
      <c r="D279" s="39">
        <f t="shared" ref="D279:D289" si="754">SUM(E279+BZ279+CS279)</f>
        <v>0</v>
      </c>
      <c r="E279" s="39">
        <f>SUM(F279+BA279)</f>
        <v>0</v>
      </c>
      <c r="F279" s="39">
        <f t="shared" ref="F279:F287" si="755">SUM(G279+H279+I279+P279+S279+T279+U279+AE279+AD279)</f>
        <v>0</v>
      </c>
      <c r="G279" s="39">
        <v>0</v>
      </c>
      <c r="H279" s="39">
        <v>0</v>
      </c>
      <c r="I279" s="39">
        <f t="shared" ref="I279" si="756"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 t="shared" ref="P279:P285" si="757"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ref="U279:U285" si="758">SUM(V279:AC279)</f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>
        <v>0</v>
      </c>
      <c r="AE279" s="39">
        <f>SUM(AF279:AZ279)</f>
        <v>0</v>
      </c>
      <c r="AF279" s="39">
        <v>0</v>
      </c>
      <c r="AG279" s="39">
        <v>0</v>
      </c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>
        <v>0</v>
      </c>
      <c r="AQ279" s="39">
        <v>0</v>
      </c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5">
        <f>4518769-4518769</f>
        <v>0</v>
      </c>
      <c r="BA279" s="39">
        <f>SUM(BB279+BF279+BI279+BK279+BN279)</f>
        <v>0</v>
      </c>
      <c r="BB279" s="39">
        <f t="shared" ref="BB279:BB287" si="759">SUM(BC279:BE279)</f>
        <v>0</v>
      </c>
      <c r="BC279" s="39">
        <v>0</v>
      </c>
      <c r="BD279" s="39">
        <v>0</v>
      </c>
      <c r="BE279" s="39">
        <v>0</v>
      </c>
      <c r="BF279" s="39">
        <f>SUM(BG279:BH279)</f>
        <v>0</v>
      </c>
      <c r="BG279" s="39"/>
      <c r="BH279" s="39">
        <v>0</v>
      </c>
      <c r="BI279" s="35">
        <v>0</v>
      </c>
      <c r="BJ279" s="39">
        <v>0</v>
      </c>
      <c r="BK279" s="39">
        <f t="shared" ref="BK279:BK285" si="760">SUM(BL279)</f>
        <v>0</v>
      </c>
      <c r="BL279" s="39">
        <v>0</v>
      </c>
      <c r="BM279" s="39">
        <v>0</v>
      </c>
      <c r="BN279" s="39">
        <f t="shared" ref="BN279:BN287" si="761">SUM(BO279:BY279)</f>
        <v>0</v>
      </c>
      <c r="BO279" s="39"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f t="shared" ref="BZ279:BZ291" si="762">SUM(CA279+CO279)</f>
        <v>0</v>
      </c>
      <c r="CA279" s="39">
        <f>SUM(CB279+CE279+CK279)</f>
        <v>0</v>
      </c>
      <c r="CB279" s="39">
        <f t="shared" ref="CB279" si="763">SUM(CC279:CD279)</f>
        <v>0</v>
      </c>
      <c r="CC279" s="39">
        <v>0</v>
      </c>
      <c r="CD279" s="39">
        <v>0</v>
      </c>
      <c r="CE279" s="19">
        <f>SUM(CF279:CJ279)</f>
        <v>0</v>
      </c>
      <c r="CF279" s="39"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f t="shared" ref="CK279:CK289" si="764">SUM(CL279:CN279)</f>
        <v>0</v>
      </c>
      <c r="CL279" s="39">
        <v>0</v>
      </c>
      <c r="CM279" s="39">
        <v>0</v>
      </c>
      <c r="CN279" s="39"/>
      <c r="CO279" s="39">
        <v>0</v>
      </c>
      <c r="CP279" s="75"/>
      <c r="CQ279" s="75"/>
      <c r="CR279" s="75"/>
      <c r="CS279" s="39">
        <f t="shared" ref="CS279:CS285" si="765">SUM(CT279)</f>
        <v>0</v>
      </c>
      <c r="CT279" s="39">
        <f t="shared" ref="CT279:CT285" si="766">SUM(CU279:CV279)</f>
        <v>0</v>
      </c>
      <c r="CU279" s="39">
        <v>0</v>
      </c>
      <c r="CV279" s="41">
        <v>0</v>
      </c>
    </row>
    <row r="280" spans="1:101" s="52" customFormat="1" ht="15.6" x14ac:dyDescent="0.3">
      <c r="A280" s="108" t="s">
        <v>1</v>
      </c>
      <c r="B280" s="42" t="s">
        <v>306</v>
      </c>
      <c r="C280" s="43" t="s">
        <v>615</v>
      </c>
      <c r="D280" s="39">
        <f t="shared" si="754"/>
        <v>2002069</v>
      </c>
      <c r="E280" s="39">
        <f t="shared" ref="E280:E285" si="767">SUM(F280+BA280)</f>
        <v>2002069</v>
      </c>
      <c r="F280" s="39">
        <f t="shared" ref="F280:F285" si="768">SUM(G280+H280+I280+P280+S280+T280+U280+AE280+AD280)</f>
        <v>0</v>
      </c>
      <c r="G280" s="39"/>
      <c r="H280" s="39"/>
      <c r="I280" s="39">
        <f t="shared" ref="I280:I285" si="769"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/>
      <c r="O280" s="39"/>
      <c r="P280" s="39">
        <f t="shared" si="757"/>
        <v>0</v>
      </c>
      <c r="Q280" s="39">
        <v>0</v>
      </c>
      <c r="R280" s="39"/>
      <c r="S280" s="39">
        <v>0</v>
      </c>
      <c r="T280" s="39"/>
      <c r="U280" s="39">
        <f t="shared" si="758"/>
        <v>0</v>
      </c>
      <c r="V280" s="39">
        <v>0</v>
      </c>
      <c r="W280" s="39"/>
      <c r="X280" s="39"/>
      <c r="Y280" s="39"/>
      <c r="Z280" s="39">
        <v>0</v>
      </c>
      <c r="AA280" s="39">
        <v>0</v>
      </c>
      <c r="AB280" s="39">
        <v>0</v>
      </c>
      <c r="AC280" s="39">
        <v>0</v>
      </c>
      <c r="AD280" s="39">
        <v>0</v>
      </c>
      <c r="AE280" s="39">
        <f t="shared" ref="AE280:AE285" si="770">SUM(AF280:AZ280)</f>
        <v>0</v>
      </c>
      <c r="AF280" s="39">
        <v>0</v>
      </c>
      <c r="AG280" s="39">
        <v>0</v>
      </c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>
        <v>0</v>
      </c>
      <c r="AQ280" s="39">
        <v>0</v>
      </c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f t="shared" ref="BA280:BA285" si="771">SUM(BB280+BF280+BI280+BK280+BN280)</f>
        <v>2002069</v>
      </c>
      <c r="BB280" s="39">
        <f t="shared" ref="BB280:BB285" si="772">SUM(BC280:BE280)</f>
        <v>0</v>
      </c>
      <c r="BC280" s="39">
        <v>0</v>
      </c>
      <c r="BD280" s="39">
        <v>0</v>
      </c>
      <c r="BE280" s="39">
        <v>0</v>
      </c>
      <c r="BF280" s="39">
        <f t="shared" ref="BF280:BF285" si="773">SUM(BH280:BH280)</f>
        <v>0</v>
      </c>
      <c r="BG280" s="39">
        <v>0</v>
      </c>
      <c r="BH280" s="39">
        <v>0</v>
      </c>
      <c r="BI280" s="35">
        <f>0+2002069</f>
        <v>2002069</v>
      </c>
      <c r="BJ280" s="39">
        <v>0</v>
      </c>
      <c r="BK280" s="39">
        <f t="shared" si="760"/>
        <v>0</v>
      </c>
      <c r="BL280" s="39">
        <v>0</v>
      </c>
      <c r="BM280" s="39">
        <v>0</v>
      </c>
      <c r="BN280" s="39">
        <f t="shared" ref="BN280:BN285" si="774">SUM(BO280:BY280)</f>
        <v>0</v>
      </c>
      <c r="BO280" s="39"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/>
      <c r="BY280" s="39">
        <v>0</v>
      </c>
      <c r="BZ280" s="39">
        <f t="shared" si="762"/>
        <v>0</v>
      </c>
      <c r="CA280" s="39">
        <f t="shared" ref="CA280:CA285" si="775">SUM(CB280+CE280+CK280)</f>
        <v>0</v>
      </c>
      <c r="CB280" s="39">
        <f t="shared" ref="CB280:CB285" si="776">SUM(CC280:CD280)</f>
        <v>0</v>
      </c>
      <c r="CC280" s="39">
        <v>0</v>
      </c>
      <c r="CD280" s="39"/>
      <c r="CE280" s="19">
        <f t="shared" ref="CE280:CE285" si="777">SUM(CF280:CJ280)</f>
        <v>0</v>
      </c>
      <c r="CF280" s="39"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f t="shared" si="764"/>
        <v>0</v>
      </c>
      <c r="CL280" s="39">
        <v>0</v>
      </c>
      <c r="CM280" s="39">
        <v>0</v>
      </c>
      <c r="CN280" s="39"/>
      <c r="CO280" s="39">
        <v>0</v>
      </c>
      <c r="CP280" s="75"/>
      <c r="CQ280" s="75"/>
      <c r="CR280" s="75"/>
      <c r="CS280" s="39">
        <f t="shared" si="765"/>
        <v>0</v>
      </c>
      <c r="CT280" s="39">
        <f t="shared" si="766"/>
        <v>0</v>
      </c>
      <c r="CU280" s="39">
        <v>0</v>
      </c>
      <c r="CV280" s="41">
        <v>0</v>
      </c>
    </row>
    <row r="281" spans="1:101" s="52" customFormat="1" ht="31.2" x14ac:dyDescent="0.3">
      <c r="A281" s="108" t="s">
        <v>1</v>
      </c>
      <c r="B281" s="42" t="s">
        <v>306</v>
      </c>
      <c r="C281" s="43" t="s">
        <v>616</v>
      </c>
      <c r="D281" s="39">
        <f t="shared" si="754"/>
        <v>3232409</v>
      </c>
      <c r="E281" s="39">
        <f t="shared" si="767"/>
        <v>3232409</v>
      </c>
      <c r="F281" s="39">
        <f t="shared" si="768"/>
        <v>0</v>
      </c>
      <c r="G281" s="39"/>
      <c r="H281" s="39"/>
      <c r="I281" s="39">
        <f t="shared" si="769"/>
        <v>0</v>
      </c>
      <c r="J281" s="39">
        <v>0</v>
      </c>
      <c r="K281" s="39">
        <v>0</v>
      </c>
      <c r="L281" s="39">
        <v>0</v>
      </c>
      <c r="M281" s="39">
        <v>0</v>
      </c>
      <c r="N281" s="39"/>
      <c r="O281" s="39"/>
      <c r="P281" s="39">
        <f t="shared" si="757"/>
        <v>0</v>
      </c>
      <c r="Q281" s="39">
        <v>0</v>
      </c>
      <c r="R281" s="39"/>
      <c r="S281" s="39">
        <v>0</v>
      </c>
      <c r="T281" s="39"/>
      <c r="U281" s="39">
        <f t="shared" si="758"/>
        <v>0</v>
      </c>
      <c r="V281" s="39">
        <v>0</v>
      </c>
      <c r="W281" s="39"/>
      <c r="X281" s="39"/>
      <c r="Y281" s="39"/>
      <c r="Z281" s="39">
        <v>0</v>
      </c>
      <c r="AA281" s="39">
        <v>0</v>
      </c>
      <c r="AB281" s="39">
        <v>0</v>
      </c>
      <c r="AC281" s="39">
        <v>0</v>
      </c>
      <c r="AD281" s="39">
        <v>0</v>
      </c>
      <c r="AE281" s="39">
        <f t="shared" si="770"/>
        <v>0</v>
      </c>
      <c r="AF281" s="39">
        <v>0</v>
      </c>
      <c r="AG281" s="39">
        <v>0</v>
      </c>
      <c r="AH281" s="39">
        <v>0</v>
      </c>
      <c r="AI281" s="39">
        <v>0</v>
      </c>
      <c r="AJ281" s="39">
        <v>0</v>
      </c>
      <c r="AK281" s="39">
        <v>0</v>
      </c>
      <c r="AL281" s="39">
        <v>0</v>
      </c>
      <c r="AM281" s="39">
        <v>0</v>
      </c>
      <c r="AN281" s="39">
        <v>0</v>
      </c>
      <c r="AO281" s="39">
        <v>0</v>
      </c>
      <c r="AP281" s="39">
        <v>0</v>
      </c>
      <c r="AQ281" s="39">
        <v>0</v>
      </c>
      <c r="AR281" s="39">
        <v>0</v>
      </c>
      <c r="AS281" s="39">
        <v>0</v>
      </c>
      <c r="AT281" s="39">
        <v>0</v>
      </c>
      <c r="AU281" s="39">
        <v>0</v>
      </c>
      <c r="AV281" s="39">
        <v>0</v>
      </c>
      <c r="AW281" s="39">
        <v>0</v>
      </c>
      <c r="AX281" s="39">
        <v>0</v>
      </c>
      <c r="AY281" s="39">
        <v>0</v>
      </c>
      <c r="AZ281" s="39">
        <v>0</v>
      </c>
      <c r="BA281" s="39">
        <f t="shared" si="771"/>
        <v>3232409</v>
      </c>
      <c r="BB281" s="39">
        <f t="shared" si="772"/>
        <v>0</v>
      </c>
      <c r="BC281" s="39">
        <v>0</v>
      </c>
      <c r="BD281" s="39">
        <v>0</v>
      </c>
      <c r="BE281" s="39">
        <v>0</v>
      </c>
      <c r="BF281" s="39">
        <f t="shared" si="773"/>
        <v>0</v>
      </c>
      <c r="BG281" s="39">
        <v>0</v>
      </c>
      <c r="BH281" s="39">
        <v>0</v>
      </c>
      <c r="BI281" s="35">
        <f>0+3232409</f>
        <v>3232409</v>
      </c>
      <c r="BJ281" s="39">
        <v>0</v>
      </c>
      <c r="BK281" s="39">
        <f t="shared" si="760"/>
        <v>0</v>
      </c>
      <c r="BL281" s="39">
        <v>0</v>
      </c>
      <c r="BM281" s="39">
        <v>0</v>
      </c>
      <c r="BN281" s="39">
        <f t="shared" si="774"/>
        <v>0</v>
      </c>
      <c r="BO281" s="39">
        <v>0</v>
      </c>
      <c r="BP281" s="39">
        <v>0</v>
      </c>
      <c r="BQ281" s="39">
        <v>0</v>
      </c>
      <c r="BR281" s="39">
        <v>0</v>
      </c>
      <c r="BS281" s="39">
        <v>0</v>
      </c>
      <c r="BT281" s="39">
        <v>0</v>
      </c>
      <c r="BU281" s="39">
        <v>0</v>
      </c>
      <c r="BV281" s="39">
        <v>0</v>
      </c>
      <c r="BW281" s="39">
        <v>0</v>
      </c>
      <c r="BX281" s="39"/>
      <c r="BY281" s="39">
        <v>0</v>
      </c>
      <c r="BZ281" s="39">
        <f t="shared" si="762"/>
        <v>0</v>
      </c>
      <c r="CA281" s="39">
        <f t="shared" si="775"/>
        <v>0</v>
      </c>
      <c r="CB281" s="39">
        <f t="shared" si="776"/>
        <v>0</v>
      </c>
      <c r="CC281" s="39">
        <v>0</v>
      </c>
      <c r="CD281" s="39"/>
      <c r="CE281" s="19">
        <f t="shared" si="777"/>
        <v>0</v>
      </c>
      <c r="CF281" s="39">
        <v>0</v>
      </c>
      <c r="CG281" s="39">
        <v>0</v>
      </c>
      <c r="CH281" s="39">
        <v>0</v>
      </c>
      <c r="CI281" s="39">
        <v>0</v>
      </c>
      <c r="CJ281" s="39">
        <v>0</v>
      </c>
      <c r="CK281" s="39">
        <f t="shared" si="764"/>
        <v>0</v>
      </c>
      <c r="CL281" s="39">
        <v>0</v>
      </c>
      <c r="CM281" s="39">
        <v>0</v>
      </c>
      <c r="CN281" s="39"/>
      <c r="CO281" s="39">
        <v>0</v>
      </c>
      <c r="CP281" s="75"/>
      <c r="CQ281" s="75"/>
      <c r="CR281" s="75"/>
      <c r="CS281" s="39">
        <f t="shared" si="765"/>
        <v>0</v>
      </c>
      <c r="CT281" s="39">
        <f t="shared" si="766"/>
        <v>0</v>
      </c>
      <c r="CU281" s="39">
        <v>0</v>
      </c>
      <c r="CV281" s="41">
        <v>0</v>
      </c>
    </row>
    <row r="282" spans="1:101" s="52" customFormat="1" ht="15.6" x14ac:dyDescent="0.3">
      <c r="A282" s="108" t="s">
        <v>1</v>
      </c>
      <c r="B282" s="42" t="s">
        <v>306</v>
      </c>
      <c r="C282" s="43" t="s">
        <v>606</v>
      </c>
      <c r="D282" s="39">
        <f t="shared" si="754"/>
        <v>6214376</v>
      </c>
      <c r="E282" s="39">
        <f t="shared" si="767"/>
        <v>6214376</v>
      </c>
      <c r="F282" s="39">
        <f t="shared" si="768"/>
        <v>0</v>
      </c>
      <c r="G282" s="39"/>
      <c r="H282" s="39"/>
      <c r="I282" s="39">
        <f t="shared" si="769"/>
        <v>0</v>
      </c>
      <c r="J282" s="39">
        <v>0</v>
      </c>
      <c r="K282" s="39">
        <v>0</v>
      </c>
      <c r="L282" s="39">
        <v>0</v>
      </c>
      <c r="M282" s="39">
        <v>0</v>
      </c>
      <c r="N282" s="39"/>
      <c r="O282" s="39"/>
      <c r="P282" s="39">
        <f t="shared" si="757"/>
        <v>0</v>
      </c>
      <c r="Q282" s="39">
        <v>0</v>
      </c>
      <c r="R282" s="39"/>
      <c r="S282" s="39">
        <v>0</v>
      </c>
      <c r="T282" s="39"/>
      <c r="U282" s="39">
        <f t="shared" si="758"/>
        <v>0</v>
      </c>
      <c r="V282" s="39">
        <v>0</v>
      </c>
      <c r="W282" s="39"/>
      <c r="X282" s="39"/>
      <c r="Y282" s="39"/>
      <c r="Z282" s="39">
        <v>0</v>
      </c>
      <c r="AA282" s="39">
        <v>0</v>
      </c>
      <c r="AB282" s="39">
        <v>0</v>
      </c>
      <c r="AC282" s="39">
        <v>0</v>
      </c>
      <c r="AD282" s="39">
        <v>0</v>
      </c>
      <c r="AE282" s="39">
        <f t="shared" si="770"/>
        <v>0</v>
      </c>
      <c r="AF282" s="39">
        <v>0</v>
      </c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>
        <v>0</v>
      </c>
      <c r="AQ282" s="39">
        <v>0</v>
      </c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f t="shared" si="771"/>
        <v>6214376</v>
      </c>
      <c r="BB282" s="39">
        <f t="shared" si="772"/>
        <v>0</v>
      </c>
      <c r="BC282" s="39">
        <v>0</v>
      </c>
      <c r="BD282" s="39">
        <v>0</v>
      </c>
      <c r="BE282" s="39">
        <v>0</v>
      </c>
      <c r="BF282" s="39">
        <f t="shared" si="773"/>
        <v>0</v>
      </c>
      <c r="BG282" s="39">
        <v>0</v>
      </c>
      <c r="BH282" s="39">
        <v>0</v>
      </c>
      <c r="BI282" s="35">
        <f>0+6214376</f>
        <v>6214376</v>
      </c>
      <c r="BJ282" s="39">
        <v>0</v>
      </c>
      <c r="BK282" s="39">
        <f t="shared" si="760"/>
        <v>0</v>
      </c>
      <c r="BL282" s="39">
        <v>0</v>
      </c>
      <c r="BM282" s="39">
        <v>0</v>
      </c>
      <c r="BN282" s="39">
        <f t="shared" si="774"/>
        <v>0</v>
      </c>
      <c r="BO282" s="39"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/>
      <c r="BY282" s="39">
        <v>0</v>
      </c>
      <c r="BZ282" s="39">
        <f t="shared" si="762"/>
        <v>0</v>
      </c>
      <c r="CA282" s="39">
        <f t="shared" si="775"/>
        <v>0</v>
      </c>
      <c r="CB282" s="39">
        <f t="shared" si="776"/>
        <v>0</v>
      </c>
      <c r="CC282" s="39">
        <v>0</v>
      </c>
      <c r="CD282" s="39"/>
      <c r="CE282" s="19">
        <f t="shared" si="777"/>
        <v>0</v>
      </c>
      <c r="CF282" s="39"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f t="shared" si="764"/>
        <v>0</v>
      </c>
      <c r="CL282" s="39">
        <v>0</v>
      </c>
      <c r="CM282" s="39">
        <v>0</v>
      </c>
      <c r="CN282" s="39"/>
      <c r="CO282" s="39">
        <v>0</v>
      </c>
      <c r="CP282" s="75"/>
      <c r="CQ282" s="75"/>
      <c r="CR282" s="75"/>
      <c r="CS282" s="39">
        <f t="shared" si="765"/>
        <v>0</v>
      </c>
      <c r="CT282" s="39">
        <f t="shared" si="766"/>
        <v>0</v>
      </c>
      <c r="CU282" s="39">
        <v>0</v>
      </c>
      <c r="CV282" s="41">
        <v>0</v>
      </c>
    </row>
    <row r="283" spans="1:101" s="52" customFormat="1" ht="31.2" x14ac:dyDescent="0.3">
      <c r="A283" s="108" t="s">
        <v>1</v>
      </c>
      <c r="B283" s="42" t="s">
        <v>306</v>
      </c>
      <c r="C283" s="43" t="s">
        <v>617</v>
      </c>
      <c r="D283" s="39">
        <f t="shared" si="754"/>
        <v>861250</v>
      </c>
      <c r="E283" s="39">
        <f t="shared" si="767"/>
        <v>861250</v>
      </c>
      <c r="F283" s="39">
        <f t="shared" si="768"/>
        <v>0</v>
      </c>
      <c r="G283" s="39"/>
      <c r="H283" s="39"/>
      <c r="I283" s="39">
        <f t="shared" si="769"/>
        <v>0</v>
      </c>
      <c r="J283" s="39">
        <v>0</v>
      </c>
      <c r="K283" s="39">
        <v>0</v>
      </c>
      <c r="L283" s="39">
        <v>0</v>
      </c>
      <c r="M283" s="39">
        <v>0</v>
      </c>
      <c r="N283" s="39"/>
      <c r="O283" s="39"/>
      <c r="P283" s="39">
        <f t="shared" si="757"/>
        <v>0</v>
      </c>
      <c r="Q283" s="39">
        <v>0</v>
      </c>
      <c r="R283" s="39"/>
      <c r="S283" s="39">
        <v>0</v>
      </c>
      <c r="T283" s="39"/>
      <c r="U283" s="39">
        <f t="shared" si="758"/>
        <v>0</v>
      </c>
      <c r="V283" s="39">
        <v>0</v>
      </c>
      <c r="W283" s="39"/>
      <c r="X283" s="39"/>
      <c r="Y283" s="39"/>
      <c r="Z283" s="39">
        <v>0</v>
      </c>
      <c r="AA283" s="39">
        <v>0</v>
      </c>
      <c r="AB283" s="39">
        <v>0</v>
      </c>
      <c r="AC283" s="39">
        <v>0</v>
      </c>
      <c r="AD283" s="39">
        <v>0</v>
      </c>
      <c r="AE283" s="39">
        <f t="shared" si="770"/>
        <v>0</v>
      </c>
      <c r="AF283" s="39">
        <v>0</v>
      </c>
      <c r="AG283" s="39">
        <v>0</v>
      </c>
      <c r="AH283" s="39">
        <v>0</v>
      </c>
      <c r="AI283" s="39">
        <v>0</v>
      </c>
      <c r="AJ283" s="39">
        <v>0</v>
      </c>
      <c r="AK283" s="39">
        <v>0</v>
      </c>
      <c r="AL283" s="39">
        <v>0</v>
      </c>
      <c r="AM283" s="39">
        <v>0</v>
      </c>
      <c r="AN283" s="39">
        <v>0</v>
      </c>
      <c r="AO283" s="39">
        <v>0</v>
      </c>
      <c r="AP283" s="39">
        <v>0</v>
      </c>
      <c r="AQ283" s="39">
        <v>0</v>
      </c>
      <c r="AR283" s="39">
        <v>0</v>
      </c>
      <c r="AS283" s="39">
        <v>0</v>
      </c>
      <c r="AT283" s="39">
        <v>0</v>
      </c>
      <c r="AU283" s="39">
        <v>0</v>
      </c>
      <c r="AV283" s="39">
        <v>0</v>
      </c>
      <c r="AW283" s="39">
        <v>0</v>
      </c>
      <c r="AX283" s="39">
        <v>0</v>
      </c>
      <c r="AY283" s="39">
        <v>0</v>
      </c>
      <c r="AZ283" s="39">
        <v>0</v>
      </c>
      <c r="BA283" s="39">
        <f t="shared" si="771"/>
        <v>861250</v>
      </c>
      <c r="BB283" s="39">
        <f t="shared" si="772"/>
        <v>0</v>
      </c>
      <c r="BC283" s="39">
        <v>0</v>
      </c>
      <c r="BD283" s="39">
        <v>0</v>
      </c>
      <c r="BE283" s="39">
        <v>0</v>
      </c>
      <c r="BF283" s="39">
        <f t="shared" si="773"/>
        <v>0</v>
      </c>
      <c r="BG283" s="39">
        <v>0</v>
      </c>
      <c r="BH283" s="39">
        <v>0</v>
      </c>
      <c r="BI283" s="35">
        <f>0+861250</f>
        <v>861250</v>
      </c>
      <c r="BJ283" s="39">
        <v>0</v>
      </c>
      <c r="BK283" s="39">
        <f t="shared" si="760"/>
        <v>0</v>
      </c>
      <c r="BL283" s="39">
        <v>0</v>
      </c>
      <c r="BM283" s="39">
        <v>0</v>
      </c>
      <c r="BN283" s="39">
        <f t="shared" si="774"/>
        <v>0</v>
      </c>
      <c r="BO283" s="39">
        <v>0</v>
      </c>
      <c r="BP283" s="39">
        <v>0</v>
      </c>
      <c r="BQ283" s="39">
        <v>0</v>
      </c>
      <c r="BR283" s="39">
        <v>0</v>
      </c>
      <c r="BS283" s="39">
        <v>0</v>
      </c>
      <c r="BT283" s="39">
        <v>0</v>
      </c>
      <c r="BU283" s="39">
        <v>0</v>
      </c>
      <c r="BV283" s="39">
        <v>0</v>
      </c>
      <c r="BW283" s="39">
        <v>0</v>
      </c>
      <c r="BX283" s="39"/>
      <c r="BY283" s="39">
        <v>0</v>
      </c>
      <c r="BZ283" s="39">
        <f t="shared" si="762"/>
        <v>0</v>
      </c>
      <c r="CA283" s="39">
        <f t="shared" si="775"/>
        <v>0</v>
      </c>
      <c r="CB283" s="39">
        <f t="shared" si="776"/>
        <v>0</v>
      </c>
      <c r="CC283" s="39">
        <v>0</v>
      </c>
      <c r="CD283" s="39"/>
      <c r="CE283" s="19">
        <f t="shared" si="777"/>
        <v>0</v>
      </c>
      <c r="CF283" s="39">
        <v>0</v>
      </c>
      <c r="CG283" s="39">
        <v>0</v>
      </c>
      <c r="CH283" s="39">
        <v>0</v>
      </c>
      <c r="CI283" s="39">
        <v>0</v>
      </c>
      <c r="CJ283" s="39">
        <v>0</v>
      </c>
      <c r="CK283" s="39">
        <f t="shared" si="764"/>
        <v>0</v>
      </c>
      <c r="CL283" s="39">
        <v>0</v>
      </c>
      <c r="CM283" s="39">
        <v>0</v>
      </c>
      <c r="CN283" s="39"/>
      <c r="CO283" s="39">
        <v>0</v>
      </c>
      <c r="CP283" s="75"/>
      <c r="CQ283" s="75"/>
      <c r="CR283" s="75"/>
      <c r="CS283" s="39">
        <f t="shared" si="765"/>
        <v>0</v>
      </c>
      <c r="CT283" s="39">
        <f t="shared" si="766"/>
        <v>0</v>
      </c>
      <c r="CU283" s="39">
        <v>0</v>
      </c>
      <c r="CV283" s="41">
        <v>0</v>
      </c>
    </row>
    <row r="284" spans="1:101" s="52" customFormat="1" ht="31.2" x14ac:dyDescent="0.3">
      <c r="A284" s="108" t="s">
        <v>1</v>
      </c>
      <c r="B284" s="42" t="s">
        <v>306</v>
      </c>
      <c r="C284" s="43" t="s">
        <v>607</v>
      </c>
      <c r="D284" s="39">
        <f t="shared" si="754"/>
        <v>361772</v>
      </c>
      <c r="E284" s="39">
        <f t="shared" si="767"/>
        <v>361772</v>
      </c>
      <c r="F284" s="39">
        <f t="shared" si="768"/>
        <v>0</v>
      </c>
      <c r="G284" s="39"/>
      <c r="H284" s="39"/>
      <c r="I284" s="39">
        <f t="shared" si="769"/>
        <v>0</v>
      </c>
      <c r="J284" s="39">
        <v>0</v>
      </c>
      <c r="K284" s="39">
        <v>0</v>
      </c>
      <c r="L284" s="39">
        <v>0</v>
      </c>
      <c r="M284" s="39">
        <v>0</v>
      </c>
      <c r="N284" s="39"/>
      <c r="O284" s="39"/>
      <c r="P284" s="39">
        <f t="shared" si="757"/>
        <v>0</v>
      </c>
      <c r="Q284" s="39">
        <v>0</v>
      </c>
      <c r="R284" s="39"/>
      <c r="S284" s="39">
        <v>0</v>
      </c>
      <c r="T284" s="39"/>
      <c r="U284" s="39">
        <f t="shared" si="758"/>
        <v>0</v>
      </c>
      <c r="V284" s="39">
        <v>0</v>
      </c>
      <c r="W284" s="39"/>
      <c r="X284" s="39"/>
      <c r="Y284" s="39"/>
      <c r="Z284" s="39">
        <v>0</v>
      </c>
      <c r="AA284" s="39">
        <v>0</v>
      </c>
      <c r="AB284" s="39">
        <v>0</v>
      </c>
      <c r="AC284" s="39">
        <v>0</v>
      </c>
      <c r="AD284" s="39">
        <v>0</v>
      </c>
      <c r="AE284" s="39">
        <f t="shared" si="770"/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0</v>
      </c>
      <c r="AL284" s="39">
        <v>0</v>
      </c>
      <c r="AM284" s="39">
        <v>0</v>
      </c>
      <c r="AN284" s="39">
        <v>0</v>
      </c>
      <c r="AO284" s="39">
        <v>0</v>
      </c>
      <c r="AP284" s="39">
        <v>0</v>
      </c>
      <c r="AQ284" s="39">
        <v>0</v>
      </c>
      <c r="AR284" s="39">
        <v>0</v>
      </c>
      <c r="AS284" s="39">
        <v>0</v>
      </c>
      <c r="AT284" s="39">
        <v>0</v>
      </c>
      <c r="AU284" s="39">
        <v>0</v>
      </c>
      <c r="AV284" s="39">
        <v>0</v>
      </c>
      <c r="AW284" s="39">
        <v>0</v>
      </c>
      <c r="AX284" s="39">
        <v>0</v>
      </c>
      <c r="AY284" s="39">
        <v>0</v>
      </c>
      <c r="AZ284" s="39">
        <v>0</v>
      </c>
      <c r="BA284" s="39">
        <f t="shared" si="771"/>
        <v>361772</v>
      </c>
      <c r="BB284" s="39">
        <f t="shared" si="772"/>
        <v>0</v>
      </c>
      <c r="BC284" s="39">
        <v>0</v>
      </c>
      <c r="BD284" s="39">
        <v>0</v>
      </c>
      <c r="BE284" s="39">
        <v>0</v>
      </c>
      <c r="BF284" s="39">
        <f t="shared" si="773"/>
        <v>0</v>
      </c>
      <c r="BG284" s="39">
        <v>0</v>
      </c>
      <c r="BH284" s="39">
        <v>0</v>
      </c>
      <c r="BI284" s="35">
        <f>0+361772</f>
        <v>361772</v>
      </c>
      <c r="BJ284" s="39">
        <v>0</v>
      </c>
      <c r="BK284" s="39">
        <f t="shared" si="760"/>
        <v>0</v>
      </c>
      <c r="BL284" s="39">
        <v>0</v>
      </c>
      <c r="BM284" s="39">
        <v>0</v>
      </c>
      <c r="BN284" s="39">
        <f t="shared" si="774"/>
        <v>0</v>
      </c>
      <c r="BO284" s="39">
        <v>0</v>
      </c>
      <c r="BP284" s="39">
        <v>0</v>
      </c>
      <c r="BQ284" s="39">
        <v>0</v>
      </c>
      <c r="BR284" s="39">
        <v>0</v>
      </c>
      <c r="BS284" s="39">
        <v>0</v>
      </c>
      <c r="BT284" s="39">
        <v>0</v>
      </c>
      <c r="BU284" s="39">
        <v>0</v>
      </c>
      <c r="BV284" s="39">
        <v>0</v>
      </c>
      <c r="BW284" s="39">
        <v>0</v>
      </c>
      <c r="BX284" s="39"/>
      <c r="BY284" s="39">
        <v>0</v>
      </c>
      <c r="BZ284" s="39">
        <f t="shared" si="762"/>
        <v>0</v>
      </c>
      <c r="CA284" s="39">
        <f t="shared" si="775"/>
        <v>0</v>
      </c>
      <c r="CB284" s="39">
        <f t="shared" si="776"/>
        <v>0</v>
      </c>
      <c r="CC284" s="39">
        <v>0</v>
      </c>
      <c r="CD284" s="39"/>
      <c r="CE284" s="19">
        <f t="shared" si="777"/>
        <v>0</v>
      </c>
      <c r="CF284" s="39">
        <v>0</v>
      </c>
      <c r="CG284" s="39">
        <v>0</v>
      </c>
      <c r="CH284" s="39">
        <v>0</v>
      </c>
      <c r="CI284" s="39">
        <v>0</v>
      </c>
      <c r="CJ284" s="39">
        <v>0</v>
      </c>
      <c r="CK284" s="39">
        <f t="shared" si="764"/>
        <v>0</v>
      </c>
      <c r="CL284" s="39">
        <v>0</v>
      </c>
      <c r="CM284" s="39">
        <v>0</v>
      </c>
      <c r="CN284" s="39"/>
      <c r="CO284" s="39">
        <v>0</v>
      </c>
      <c r="CP284" s="75"/>
      <c r="CQ284" s="75"/>
      <c r="CR284" s="75"/>
      <c r="CS284" s="39">
        <f t="shared" si="765"/>
        <v>0</v>
      </c>
      <c r="CT284" s="39">
        <f t="shared" si="766"/>
        <v>0</v>
      </c>
      <c r="CU284" s="39">
        <v>0</v>
      </c>
      <c r="CV284" s="41">
        <v>0</v>
      </c>
    </row>
    <row r="285" spans="1:101" s="52" customFormat="1" ht="31.2" x14ac:dyDescent="0.3">
      <c r="A285" s="108" t="s">
        <v>1</v>
      </c>
      <c r="B285" s="42" t="s">
        <v>306</v>
      </c>
      <c r="C285" s="43" t="s">
        <v>618</v>
      </c>
      <c r="D285" s="39">
        <f t="shared" si="754"/>
        <v>1138777</v>
      </c>
      <c r="E285" s="39">
        <f t="shared" si="767"/>
        <v>1138777</v>
      </c>
      <c r="F285" s="39">
        <f t="shared" si="768"/>
        <v>0</v>
      </c>
      <c r="G285" s="39"/>
      <c r="H285" s="39"/>
      <c r="I285" s="39">
        <f t="shared" si="769"/>
        <v>0</v>
      </c>
      <c r="J285" s="39">
        <v>0</v>
      </c>
      <c r="K285" s="39">
        <v>0</v>
      </c>
      <c r="L285" s="39">
        <v>0</v>
      </c>
      <c r="M285" s="39">
        <v>0</v>
      </c>
      <c r="N285" s="39"/>
      <c r="O285" s="39"/>
      <c r="P285" s="39">
        <f t="shared" si="757"/>
        <v>0</v>
      </c>
      <c r="Q285" s="39">
        <v>0</v>
      </c>
      <c r="R285" s="39"/>
      <c r="S285" s="39">
        <v>0</v>
      </c>
      <c r="T285" s="39"/>
      <c r="U285" s="39">
        <f t="shared" si="758"/>
        <v>0</v>
      </c>
      <c r="V285" s="39">
        <v>0</v>
      </c>
      <c r="W285" s="39"/>
      <c r="X285" s="39"/>
      <c r="Y285" s="39"/>
      <c r="Z285" s="39">
        <v>0</v>
      </c>
      <c r="AA285" s="39">
        <v>0</v>
      </c>
      <c r="AB285" s="39">
        <v>0</v>
      </c>
      <c r="AC285" s="39">
        <v>0</v>
      </c>
      <c r="AD285" s="39">
        <v>0</v>
      </c>
      <c r="AE285" s="39">
        <f t="shared" si="770"/>
        <v>0</v>
      </c>
      <c r="AF285" s="39">
        <v>0</v>
      </c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9">
        <v>0</v>
      </c>
      <c r="AM285" s="39">
        <v>0</v>
      </c>
      <c r="AN285" s="39">
        <v>0</v>
      </c>
      <c r="AO285" s="39">
        <v>0</v>
      </c>
      <c r="AP285" s="39">
        <v>0</v>
      </c>
      <c r="AQ285" s="39">
        <v>0</v>
      </c>
      <c r="AR285" s="39">
        <v>0</v>
      </c>
      <c r="AS285" s="39">
        <v>0</v>
      </c>
      <c r="AT285" s="39">
        <v>0</v>
      </c>
      <c r="AU285" s="39">
        <v>0</v>
      </c>
      <c r="AV285" s="39">
        <v>0</v>
      </c>
      <c r="AW285" s="39">
        <v>0</v>
      </c>
      <c r="AX285" s="39">
        <v>0</v>
      </c>
      <c r="AY285" s="39">
        <v>0</v>
      </c>
      <c r="AZ285" s="39">
        <v>0</v>
      </c>
      <c r="BA285" s="39">
        <f t="shared" si="771"/>
        <v>1138777</v>
      </c>
      <c r="BB285" s="39">
        <f t="shared" si="772"/>
        <v>0</v>
      </c>
      <c r="BC285" s="39">
        <v>0</v>
      </c>
      <c r="BD285" s="39">
        <v>0</v>
      </c>
      <c r="BE285" s="39">
        <v>0</v>
      </c>
      <c r="BF285" s="39">
        <f t="shared" si="773"/>
        <v>0</v>
      </c>
      <c r="BG285" s="39">
        <v>0</v>
      </c>
      <c r="BH285" s="39">
        <v>0</v>
      </c>
      <c r="BI285" s="35">
        <f>0+1138777</f>
        <v>1138777</v>
      </c>
      <c r="BJ285" s="39">
        <v>0</v>
      </c>
      <c r="BK285" s="39">
        <f t="shared" si="760"/>
        <v>0</v>
      </c>
      <c r="BL285" s="39">
        <v>0</v>
      </c>
      <c r="BM285" s="39">
        <v>0</v>
      </c>
      <c r="BN285" s="39">
        <f t="shared" si="774"/>
        <v>0</v>
      </c>
      <c r="BO285" s="39">
        <v>0</v>
      </c>
      <c r="BP285" s="39">
        <v>0</v>
      </c>
      <c r="BQ285" s="39">
        <v>0</v>
      </c>
      <c r="BR285" s="39">
        <v>0</v>
      </c>
      <c r="BS285" s="39">
        <v>0</v>
      </c>
      <c r="BT285" s="39">
        <v>0</v>
      </c>
      <c r="BU285" s="39">
        <v>0</v>
      </c>
      <c r="BV285" s="39">
        <v>0</v>
      </c>
      <c r="BW285" s="39">
        <v>0</v>
      </c>
      <c r="BX285" s="39"/>
      <c r="BY285" s="39">
        <v>0</v>
      </c>
      <c r="BZ285" s="39">
        <f t="shared" si="762"/>
        <v>0</v>
      </c>
      <c r="CA285" s="39">
        <f t="shared" si="775"/>
        <v>0</v>
      </c>
      <c r="CB285" s="39">
        <f t="shared" si="776"/>
        <v>0</v>
      </c>
      <c r="CC285" s="39">
        <v>0</v>
      </c>
      <c r="CD285" s="39"/>
      <c r="CE285" s="19">
        <f t="shared" si="777"/>
        <v>0</v>
      </c>
      <c r="CF285" s="39">
        <v>0</v>
      </c>
      <c r="CG285" s="39">
        <v>0</v>
      </c>
      <c r="CH285" s="39">
        <v>0</v>
      </c>
      <c r="CI285" s="39">
        <v>0</v>
      </c>
      <c r="CJ285" s="39">
        <v>0</v>
      </c>
      <c r="CK285" s="39">
        <f t="shared" si="764"/>
        <v>0</v>
      </c>
      <c r="CL285" s="39">
        <v>0</v>
      </c>
      <c r="CM285" s="39">
        <v>0</v>
      </c>
      <c r="CN285" s="39"/>
      <c r="CO285" s="39">
        <v>0</v>
      </c>
      <c r="CP285" s="75"/>
      <c r="CQ285" s="75"/>
      <c r="CR285" s="75"/>
      <c r="CS285" s="39">
        <f t="shared" si="765"/>
        <v>0</v>
      </c>
      <c r="CT285" s="39">
        <f t="shared" si="766"/>
        <v>0</v>
      </c>
      <c r="CU285" s="39">
        <v>0</v>
      </c>
      <c r="CV285" s="41">
        <v>0</v>
      </c>
    </row>
    <row r="286" spans="1:101" s="52" customFormat="1" ht="15.6" x14ac:dyDescent="0.3">
      <c r="A286" s="108" t="s">
        <v>1</v>
      </c>
      <c r="B286" s="42" t="s">
        <v>306</v>
      </c>
      <c r="C286" s="43" t="s">
        <v>307</v>
      </c>
      <c r="D286" s="39">
        <f t="shared" si="754"/>
        <v>2357055</v>
      </c>
      <c r="E286" s="39">
        <f>SUM(F286+BA286)</f>
        <v>2357055</v>
      </c>
      <c r="F286" s="39">
        <f t="shared" si="755"/>
        <v>0</v>
      </c>
      <c r="G286" s="39">
        <v>0</v>
      </c>
      <c r="H286" s="39">
        <v>0</v>
      </c>
      <c r="I286" s="39">
        <f t="shared" ref="I286" si="778">SUM(J286:O286)</f>
        <v>0</v>
      </c>
      <c r="J286" s="39">
        <v>0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f t="shared" ref="P286" si="779">SUM(Q286:R286)</f>
        <v>0</v>
      </c>
      <c r="Q286" s="39">
        <v>0</v>
      </c>
      <c r="R286" s="39">
        <v>0</v>
      </c>
      <c r="S286" s="39">
        <v>0</v>
      </c>
      <c r="T286" s="39">
        <v>0</v>
      </c>
      <c r="U286" s="39">
        <f t="shared" ref="U286" si="780">SUM(V286:AC286)</f>
        <v>0</v>
      </c>
      <c r="V286" s="39">
        <v>0</v>
      </c>
      <c r="W286" s="39">
        <v>0</v>
      </c>
      <c r="X286" s="39">
        <v>0</v>
      </c>
      <c r="Y286" s="39">
        <v>0</v>
      </c>
      <c r="Z286" s="39">
        <v>0</v>
      </c>
      <c r="AA286" s="39">
        <v>0</v>
      </c>
      <c r="AB286" s="39">
        <v>0</v>
      </c>
      <c r="AC286" s="39">
        <v>0</v>
      </c>
      <c r="AD286" s="39">
        <v>0</v>
      </c>
      <c r="AE286" s="39">
        <f>SUM(AF286:AZ286)</f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0</v>
      </c>
      <c r="AM286" s="39">
        <v>0</v>
      </c>
      <c r="AN286" s="39">
        <v>0</v>
      </c>
      <c r="AO286" s="39">
        <v>0</v>
      </c>
      <c r="AP286" s="39">
        <v>0</v>
      </c>
      <c r="AQ286" s="39">
        <v>0</v>
      </c>
      <c r="AR286" s="39">
        <v>0</v>
      </c>
      <c r="AS286" s="39">
        <v>0</v>
      </c>
      <c r="AT286" s="39">
        <v>0</v>
      </c>
      <c r="AU286" s="39">
        <v>0</v>
      </c>
      <c r="AV286" s="39">
        <v>0</v>
      </c>
      <c r="AW286" s="39">
        <v>0</v>
      </c>
      <c r="AX286" s="39">
        <v>0</v>
      </c>
      <c r="AY286" s="39">
        <v>0</v>
      </c>
      <c r="AZ286" s="39">
        <v>0</v>
      </c>
      <c r="BA286" s="39">
        <f>SUM(BB286+BF286+BI286+BK286+BN286)</f>
        <v>2357055</v>
      </c>
      <c r="BB286" s="39">
        <f t="shared" si="759"/>
        <v>0</v>
      </c>
      <c r="BC286" s="39">
        <v>0</v>
      </c>
      <c r="BD286" s="39">
        <v>0</v>
      </c>
      <c r="BE286" s="39">
        <v>0</v>
      </c>
      <c r="BF286" s="39">
        <f>SUM(BG286:BH286)</f>
        <v>2357055</v>
      </c>
      <c r="BG286" s="35">
        <f>1557055+800000</f>
        <v>2357055</v>
      </c>
      <c r="BH286" s="39">
        <v>0</v>
      </c>
      <c r="BI286" s="35">
        <v>0</v>
      </c>
      <c r="BJ286" s="39">
        <v>0</v>
      </c>
      <c r="BK286" s="39">
        <f t="shared" ref="BK286:BK287" si="781">SUM(BL286)</f>
        <v>0</v>
      </c>
      <c r="BL286" s="39">
        <v>0</v>
      </c>
      <c r="BM286" s="39">
        <v>0</v>
      </c>
      <c r="BN286" s="39">
        <f t="shared" si="761"/>
        <v>0</v>
      </c>
      <c r="BO286" s="39">
        <v>0</v>
      </c>
      <c r="BP286" s="39">
        <v>0</v>
      </c>
      <c r="BQ286" s="39">
        <v>0</v>
      </c>
      <c r="BR286" s="39">
        <v>0</v>
      </c>
      <c r="BS286" s="39">
        <v>0</v>
      </c>
      <c r="BT286" s="39">
        <v>0</v>
      </c>
      <c r="BU286" s="39">
        <v>0</v>
      </c>
      <c r="BV286" s="39">
        <v>0</v>
      </c>
      <c r="BW286" s="39">
        <v>0</v>
      </c>
      <c r="BX286" s="39">
        <v>0</v>
      </c>
      <c r="BY286" s="39">
        <v>0</v>
      </c>
      <c r="BZ286" s="39">
        <f t="shared" si="762"/>
        <v>0</v>
      </c>
      <c r="CA286" s="39">
        <f>SUM(CB286+CE286+CK286)</f>
        <v>0</v>
      </c>
      <c r="CB286" s="39">
        <f t="shared" ref="CB286" si="782">SUM(CC286:CD286)</f>
        <v>0</v>
      </c>
      <c r="CC286" s="39">
        <v>0</v>
      </c>
      <c r="CD286" s="39">
        <v>0</v>
      </c>
      <c r="CE286" s="19">
        <f>SUM(CF286:CJ286)</f>
        <v>0</v>
      </c>
      <c r="CF286" s="39">
        <v>0</v>
      </c>
      <c r="CG286" s="39">
        <v>0</v>
      </c>
      <c r="CH286" s="39">
        <v>0</v>
      </c>
      <c r="CI286" s="39">
        <v>0</v>
      </c>
      <c r="CJ286" s="39">
        <v>0</v>
      </c>
      <c r="CK286" s="39">
        <f t="shared" si="764"/>
        <v>0</v>
      </c>
      <c r="CL286" s="39">
        <v>0</v>
      </c>
      <c r="CM286" s="39">
        <v>0</v>
      </c>
      <c r="CN286" s="39"/>
      <c r="CO286" s="39">
        <v>0</v>
      </c>
      <c r="CP286" s="75"/>
      <c r="CQ286" s="75"/>
      <c r="CR286" s="75"/>
      <c r="CS286" s="39">
        <f t="shared" ref="CS286" si="783">SUM(CT286)</f>
        <v>0</v>
      </c>
      <c r="CT286" s="39">
        <f t="shared" ref="CT286" si="784">SUM(CU286:CV286)</f>
        <v>0</v>
      </c>
      <c r="CU286" s="39">
        <v>0</v>
      </c>
      <c r="CV286" s="41">
        <v>0</v>
      </c>
    </row>
    <row r="287" spans="1:101" s="52" customFormat="1" ht="15.6" x14ac:dyDescent="0.3">
      <c r="A287" s="108" t="s">
        <v>1</v>
      </c>
      <c r="B287" s="42" t="s">
        <v>306</v>
      </c>
      <c r="C287" s="43" t="s">
        <v>308</v>
      </c>
      <c r="D287" s="39">
        <f t="shared" si="754"/>
        <v>160455866</v>
      </c>
      <c r="E287" s="39">
        <f>SUM(F287+BA287)</f>
        <v>160455866</v>
      </c>
      <c r="F287" s="39">
        <f t="shared" si="755"/>
        <v>0</v>
      </c>
      <c r="G287" s="39"/>
      <c r="H287" s="39"/>
      <c r="I287" s="39">
        <f t="shared" ref="I287" si="785">SUM(J287:O287)</f>
        <v>0</v>
      </c>
      <c r="J287" s="39">
        <v>0</v>
      </c>
      <c r="K287" s="39">
        <v>0</v>
      </c>
      <c r="L287" s="39">
        <v>0</v>
      </c>
      <c r="M287" s="39">
        <v>0</v>
      </c>
      <c r="N287" s="39"/>
      <c r="O287" s="39"/>
      <c r="P287" s="39">
        <f t="shared" ref="P287" si="786">SUM(Q287:R287)</f>
        <v>0</v>
      </c>
      <c r="Q287" s="39">
        <v>0</v>
      </c>
      <c r="R287" s="39"/>
      <c r="S287" s="39">
        <v>0</v>
      </c>
      <c r="T287" s="39"/>
      <c r="U287" s="39">
        <f t="shared" ref="U287" si="787">SUM(V287:AC287)</f>
        <v>0</v>
      </c>
      <c r="V287" s="39">
        <v>0</v>
      </c>
      <c r="W287" s="39"/>
      <c r="X287" s="39"/>
      <c r="Y287" s="39"/>
      <c r="Z287" s="39">
        <v>0</v>
      </c>
      <c r="AA287" s="39">
        <v>0</v>
      </c>
      <c r="AB287" s="39">
        <v>0</v>
      </c>
      <c r="AC287" s="39">
        <v>0</v>
      </c>
      <c r="AD287" s="39">
        <v>0</v>
      </c>
      <c r="AE287" s="39">
        <f>SUM(AF287:AZ287)</f>
        <v>0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0</v>
      </c>
      <c r="AL287" s="39">
        <v>0</v>
      </c>
      <c r="AM287" s="39">
        <v>0</v>
      </c>
      <c r="AN287" s="39">
        <v>0</v>
      </c>
      <c r="AO287" s="39">
        <v>0</v>
      </c>
      <c r="AP287" s="39">
        <v>0</v>
      </c>
      <c r="AQ287" s="39">
        <v>0</v>
      </c>
      <c r="AR287" s="39">
        <v>0</v>
      </c>
      <c r="AS287" s="39">
        <v>0</v>
      </c>
      <c r="AT287" s="39">
        <v>0</v>
      </c>
      <c r="AU287" s="39">
        <v>0</v>
      </c>
      <c r="AV287" s="39">
        <v>0</v>
      </c>
      <c r="AW287" s="39">
        <v>0</v>
      </c>
      <c r="AX287" s="39">
        <v>0</v>
      </c>
      <c r="AY287" s="39">
        <v>0</v>
      </c>
      <c r="AZ287" s="39">
        <v>0</v>
      </c>
      <c r="BA287" s="39">
        <f>SUM(BB287+BF287+BI287+BK287+BN287)</f>
        <v>160455866</v>
      </c>
      <c r="BB287" s="39">
        <f t="shared" si="759"/>
        <v>0</v>
      </c>
      <c r="BC287" s="39">
        <v>0</v>
      </c>
      <c r="BD287" s="39">
        <v>0</v>
      </c>
      <c r="BE287" s="39">
        <v>0</v>
      </c>
      <c r="BF287" s="39">
        <f>SUM(BH287:BH287)</f>
        <v>0</v>
      </c>
      <c r="BG287" s="39">
        <v>0</v>
      </c>
      <c r="BH287" s="39">
        <v>0</v>
      </c>
      <c r="BI287" s="35">
        <f>248963433-88507567</f>
        <v>160455866</v>
      </c>
      <c r="BJ287" s="39">
        <v>0</v>
      </c>
      <c r="BK287" s="39">
        <f t="shared" si="781"/>
        <v>0</v>
      </c>
      <c r="BL287" s="39">
        <v>0</v>
      </c>
      <c r="BM287" s="39">
        <v>0</v>
      </c>
      <c r="BN287" s="39">
        <f t="shared" si="761"/>
        <v>0</v>
      </c>
      <c r="BO287" s="39">
        <v>0</v>
      </c>
      <c r="BP287" s="39">
        <v>0</v>
      </c>
      <c r="BQ287" s="39">
        <v>0</v>
      </c>
      <c r="BR287" s="39">
        <v>0</v>
      </c>
      <c r="BS287" s="39">
        <v>0</v>
      </c>
      <c r="BT287" s="39">
        <v>0</v>
      </c>
      <c r="BU287" s="39">
        <v>0</v>
      </c>
      <c r="BV287" s="39">
        <v>0</v>
      </c>
      <c r="BW287" s="39">
        <v>0</v>
      </c>
      <c r="BX287" s="39"/>
      <c r="BY287" s="39">
        <v>0</v>
      </c>
      <c r="BZ287" s="39">
        <f t="shared" si="762"/>
        <v>0</v>
      </c>
      <c r="CA287" s="39">
        <f>SUM(CB287+CE287+CK287)</f>
        <v>0</v>
      </c>
      <c r="CB287" s="39">
        <f t="shared" ref="CB287" si="788">SUM(CC287:CD287)</f>
        <v>0</v>
      </c>
      <c r="CC287" s="39">
        <v>0</v>
      </c>
      <c r="CD287" s="39"/>
      <c r="CE287" s="19">
        <f>SUM(CF287:CJ287)</f>
        <v>0</v>
      </c>
      <c r="CF287" s="39">
        <v>0</v>
      </c>
      <c r="CG287" s="39">
        <v>0</v>
      </c>
      <c r="CH287" s="39">
        <v>0</v>
      </c>
      <c r="CI287" s="39">
        <v>0</v>
      </c>
      <c r="CJ287" s="39">
        <v>0</v>
      </c>
      <c r="CK287" s="39">
        <f t="shared" si="764"/>
        <v>0</v>
      </c>
      <c r="CL287" s="39">
        <v>0</v>
      </c>
      <c r="CM287" s="39">
        <v>0</v>
      </c>
      <c r="CN287" s="39"/>
      <c r="CO287" s="39">
        <v>0</v>
      </c>
      <c r="CP287" s="75"/>
      <c r="CQ287" s="75"/>
      <c r="CR287" s="75"/>
      <c r="CS287" s="39">
        <f t="shared" ref="CS287" si="789">SUM(CT287)</f>
        <v>0</v>
      </c>
      <c r="CT287" s="39">
        <f t="shared" ref="CT287" si="790">SUM(CU287:CV287)</f>
        <v>0</v>
      </c>
      <c r="CU287" s="39">
        <v>0</v>
      </c>
      <c r="CV287" s="41">
        <v>0</v>
      </c>
    </row>
    <row r="288" spans="1:101" s="52" customFormat="1" ht="15.6" x14ac:dyDescent="0.3">
      <c r="A288" s="108" t="s">
        <v>1</v>
      </c>
      <c r="B288" s="42" t="s">
        <v>306</v>
      </c>
      <c r="C288" s="43" t="s">
        <v>540</v>
      </c>
      <c r="D288" s="39">
        <f t="shared" si="754"/>
        <v>19402020</v>
      </c>
      <c r="E288" s="39">
        <f>SUM(F288+BA288)</f>
        <v>19402020</v>
      </c>
      <c r="F288" s="39">
        <f t="shared" ref="F288" si="791">SUM(G288+H288+I288+P288+S288+T288+U288+AE288+AD288)</f>
        <v>0</v>
      </c>
      <c r="G288" s="39"/>
      <c r="H288" s="39"/>
      <c r="I288" s="39">
        <f t="shared" ref="I288" si="792">SUM(J288:O288)</f>
        <v>0</v>
      </c>
      <c r="J288" s="39">
        <v>0</v>
      </c>
      <c r="K288" s="39">
        <v>0</v>
      </c>
      <c r="L288" s="39">
        <v>0</v>
      </c>
      <c r="M288" s="39">
        <v>0</v>
      </c>
      <c r="N288" s="39"/>
      <c r="O288" s="39"/>
      <c r="P288" s="39">
        <f t="shared" ref="P288" si="793">SUM(Q288:R288)</f>
        <v>0</v>
      </c>
      <c r="Q288" s="39">
        <v>0</v>
      </c>
      <c r="R288" s="39"/>
      <c r="S288" s="39">
        <v>0</v>
      </c>
      <c r="T288" s="39"/>
      <c r="U288" s="39">
        <f t="shared" ref="U288" si="794">SUM(V288:AC288)</f>
        <v>0</v>
      </c>
      <c r="V288" s="39">
        <v>0</v>
      </c>
      <c r="W288" s="39"/>
      <c r="X288" s="39"/>
      <c r="Y288" s="39"/>
      <c r="Z288" s="39">
        <v>0</v>
      </c>
      <c r="AA288" s="39">
        <v>0</v>
      </c>
      <c r="AB288" s="39">
        <v>0</v>
      </c>
      <c r="AC288" s="39">
        <v>0</v>
      </c>
      <c r="AD288" s="39">
        <v>0</v>
      </c>
      <c r="AE288" s="39">
        <f>SUM(AF288:AZ288)</f>
        <v>0</v>
      </c>
      <c r="AF288" s="39">
        <v>0</v>
      </c>
      <c r="AG288" s="39">
        <v>0</v>
      </c>
      <c r="AH288" s="39">
        <v>0</v>
      </c>
      <c r="AI288" s="39">
        <v>0</v>
      </c>
      <c r="AJ288" s="39">
        <v>0</v>
      </c>
      <c r="AK288" s="39">
        <v>0</v>
      </c>
      <c r="AL288" s="39">
        <v>0</v>
      </c>
      <c r="AM288" s="39">
        <v>0</v>
      </c>
      <c r="AN288" s="39">
        <v>0</v>
      </c>
      <c r="AO288" s="39">
        <v>0</v>
      </c>
      <c r="AP288" s="39">
        <v>0</v>
      </c>
      <c r="AQ288" s="39">
        <v>0</v>
      </c>
      <c r="AR288" s="39">
        <v>0</v>
      </c>
      <c r="AS288" s="39">
        <v>0</v>
      </c>
      <c r="AT288" s="39">
        <v>0</v>
      </c>
      <c r="AU288" s="39">
        <v>0</v>
      </c>
      <c r="AV288" s="39">
        <v>0</v>
      </c>
      <c r="AW288" s="39">
        <v>0</v>
      </c>
      <c r="AX288" s="39">
        <v>0</v>
      </c>
      <c r="AY288" s="39">
        <v>0</v>
      </c>
      <c r="AZ288" s="39">
        <v>0</v>
      </c>
      <c r="BA288" s="39">
        <f>SUM(BB288+BF288+BI288+BK288+BN288)</f>
        <v>19402020</v>
      </c>
      <c r="BB288" s="39">
        <f t="shared" ref="BB288" si="795">SUM(BC288:BE288)</f>
        <v>0</v>
      </c>
      <c r="BC288" s="39">
        <v>0</v>
      </c>
      <c r="BD288" s="39">
        <v>0</v>
      </c>
      <c r="BE288" s="39">
        <v>0</v>
      </c>
      <c r="BF288" s="39">
        <f>SUM(BG288:BH288)</f>
        <v>19402020</v>
      </c>
      <c r="BG288" s="39">
        <v>19402020</v>
      </c>
      <c r="BH288" s="39">
        <v>0</v>
      </c>
      <c r="BI288" s="35"/>
      <c r="BJ288" s="39">
        <v>0</v>
      </c>
      <c r="BK288" s="39">
        <f t="shared" ref="BK288" si="796">SUM(BL288)</f>
        <v>0</v>
      </c>
      <c r="BL288" s="39">
        <v>0</v>
      </c>
      <c r="BM288" s="39">
        <v>0</v>
      </c>
      <c r="BN288" s="39">
        <f t="shared" ref="BN288" si="797">SUM(BO288:BY288)</f>
        <v>0</v>
      </c>
      <c r="BO288" s="39">
        <v>0</v>
      </c>
      <c r="BP288" s="39">
        <v>0</v>
      </c>
      <c r="BQ288" s="39">
        <v>0</v>
      </c>
      <c r="BR288" s="39">
        <v>0</v>
      </c>
      <c r="BS288" s="39">
        <v>0</v>
      </c>
      <c r="BT288" s="39">
        <v>0</v>
      </c>
      <c r="BU288" s="39">
        <v>0</v>
      </c>
      <c r="BV288" s="39">
        <v>0</v>
      </c>
      <c r="BW288" s="39">
        <v>0</v>
      </c>
      <c r="BX288" s="39"/>
      <c r="BY288" s="39">
        <v>0</v>
      </c>
      <c r="BZ288" s="39">
        <f t="shared" si="762"/>
        <v>0</v>
      </c>
      <c r="CA288" s="39">
        <f>SUM(CB288+CE288+CK288)</f>
        <v>0</v>
      </c>
      <c r="CB288" s="39">
        <f t="shared" ref="CB288" si="798">SUM(CC288:CD288)</f>
        <v>0</v>
      </c>
      <c r="CC288" s="39">
        <v>0</v>
      </c>
      <c r="CD288" s="39"/>
      <c r="CE288" s="19">
        <f>SUM(CF288:CJ288)</f>
        <v>0</v>
      </c>
      <c r="CF288" s="39">
        <v>0</v>
      </c>
      <c r="CG288" s="39">
        <v>0</v>
      </c>
      <c r="CH288" s="39">
        <v>0</v>
      </c>
      <c r="CI288" s="39">
        <v>0</v>
      </c>
      <c r="CJ288" s="39">
        <v>0</v>
      </c>
      <c r="CK288" s="39">
        <f t="shared" si="764"/>
        <v>0</v>
      </c>
      <c r="CL288" s="39">
        <v>0</v>
      </c>
      <c r="CM288" s="39">
        <v>0</v>
      </c>
      <c r="CN288" s="39"/>
      <c r="CO288" s="39">
        <v>0</v>
      </c>
      <c r="CP288" s="75"/>
      <c r="CQ288" s="75"/>
      <c r="CR288" s="75"/>
      <c r="CS288" s="39">
        <f t="shared" ref="CS288" si="799">SUM(CT288)</f>
        <v>0</v>
      </c>
      <c r="CT288" s="39">
        <f t="shared" ref="CT288" si="800">SUM(CU288:CV288)</f>
        <v>0</v>
      </c>
      <c r="CU288" s="39">
        <v>0</v>
      </c>
      <c r="CV288" s="41">
        <v>0</v>
      </c>
    </row>
    <row r="289" spans="1:101" s="57" customFormat="1" ht="15.6" x14ac:dyDescent="0.3">
      <c r="A289" s="108" t="s">
        <v>1</v>
      </c>
      <c r="B289" s="42" t="s">
        <v>306</v>
      </c>
      <c r="C289" s="43" t="s">
        <v>549</v>
      </c>
      <c r="D289" s="39">
        <f t="shared" si="754"/>
        <v>0</v>
      </c>
      <c r="E289" s="39">
        <f>SUM(F289+BA289)</f>
        <v>0</v>
      </c>
      <c r="F289" s="39">
        <f t="shared" ref="F289" si="801">SUM(G289+H289+I289+P289+S289+T289+U289+AE289+AD289)</f>
        <v>0</v>
      </c>
      <c r="G289" s="39"/>
      <c r="H289" s="39"/>
      <c r="I289" s="39">
        <f t="shared" ref="I289" si="802">SUM(J289:O289)</f>
        <v>0</v>
      </c>
      <c r="J289" s="39">
        <v>0</v>
      </c>
      <c r="K289" s="39">
        <v>0</v>
      </c>
      <c r="L289" s="39">
        <v>0</v>
      </c>
      <c r="M289" s="39">
        <v>0</v>
      </c>
      <c r="N289" s="39"/>
      <c r="O289" s="39"/>
      <c r="P289" s="39">
        <f t="shared" ref="P289" si="803">SUM(Q289:R289)</f>
        <v>0</v>
      </c>
      <c r="Q289" s="39">
        <v>0</v>
      </c>
      <c r="R289" s="39"/>
      <c r="S289" s="39">
        <v>0</v>
      </c>
      <c r="T289" s="39"/>
      <c r="U289" s="39">
        <f t="shared" ref="U289" si="804">SUM(V289:AC289)</f>
        <v>0</v>
      </c>
      <c r="V289" s="39">
        <v>0</v>
      </c>
      <c r="W289" s="39"/>
      <c r="X289" s="39"/>
      <c r="Y289" s="39"/>
      <c r="Z289" s="39">
        <v>0</v>
      </c>
      <c r="AA289" s="39">
        <v>0</v>
      </c>
      <c r="AB289" s="39">
        <v>0</v>
      </c>
      <c r="AC289" s="39">
        <v>0</v>
      </c>
      <c r="AD289" s="39">
        <v>0</v>
      </c>
      <c r="AE289" s="39">
        <f>SUM(AF289:AZ289)</f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0</v>
      </c>
      <c r="AK289" s="39">
        <v>0</v>
      </c>
      <c r="AL289" s="39">
        <v>0</v>
      </c>
      <c r="AM289" s="39">
        <v>0</v>
      </c>
      <c r="AN289" s="39">
        <v>0</v>
      </c>
      <c r="AO289" s="39">
        <v>0</v>
      </c>
      <c r="AP289" s="39">
        <v>0</v>
      </c>
      <c r="AQ289" s="39">
        <v>0</v>
      </c>
      <c r="AR289" s="39">
        <v>0</v>
      </c>
      <c r="AS289" s="39">
        <v>0</v>
      </c>
      <c r="AT289" s="39">
        <v>0</v>
      </c>
      <c r="AU289" s="39">
        <v>0</v>
      </c>
      <c r="AV289" s="39">
        <v>0</v>
      </c>
      <c r="AW289" s="39">
        <v>0</v>
      </c>
      <c r="AX289" s="39">
        <v>0</v>
      </c>
      <c r="AY289" s="39">
        <v>0</v>
      </c>
      <c r="AZ289" s="39">
        <f>10939985-10939985</f>
        <v>0</v>
      </c>
      <c r="BA289" s="39">
        <f>SUM(BB289+BF289+BI289+BK289+BN289)</f>
        <v>0</v>
      </c>
      <c r="BB289" s="39">
        <f t="shared" ref="BB289" si="805">SUM(BC289:BE289)</f>
        <v>0</v>
      </c>
      <c r="BC289" s="39">
        <v>0</v>
      </c>
      <c r="BD289" s="39">
        <v>0</v>
      </c>
      <c r="BE289" s="39">
        <v>0</v>
      </c>
      <c r="BF289" s="39">
        <f>SUM(BG289:BH289)</f>
        <v>0</v>
      </c>
      <c r="BG289" s="39"/>
      <c r="BH289" s="39">
        <v>0</v>
      </c>
      <c r="BI289" s="35"/>
      <c r="BJ289" s="39">
        <v>0</v>
      </c>
      <c r="BK289" s="39">
        <f t="shared" ref="BK289" si="806">SUM(BL289)</f>
        <v>0</v>
      </c>
      <c r="BL289" s="39">
        <v>0</v>
      </c>
      <c r="BM289" s="39">
        <v>0</v>
      </c>
      <c r="BN289" s="39">
        <f t="shared" ref="BN289" si="807">SUM(BO289:BY289)</f>
        <v>0</v>
      </c>
      <c r="BO289" s="39">
        <v>0</v>
      </c>
      <c r="BP289" s="39">
        <v>0</v>
      </c>
      <c r="BQ289" s="39">
        <v>0</v>
      </c>
      <c r="BR289" s="39">
        <v>0</v>
      </c>
      <c r="BS289" s="39">
        <v>0</v>
      </c>
      <c r="BT289" s="39">
        <v>0</v>
      </c>
      <c r="BU289" s="39">
        <v>0</v>
      </c>
      <c r="BV289" s="39">
        <v>0</v>
      </c>
      <c r="BW289" s="39">
        <v>0</v>
      </c>
      <c r="BX289" s="39"/>
      <c r="BY289" s="39">
        <v>0</v>
      </c>
      <c r="BZ289" s="39">
        <f t="shared" si="762"/>
        <v>0</v>
      </c>
      <c r="CA289" s="39">
        <f>SUM(CB289+CE289+CK289)</f>
        <v>0</v>
      </c>
      <c r="CB289" s="39">
        <f t="shared" ref="CB289" si="808">SUM(CC289:CD289)</f>
        <v>0</v>
      </c>
      <c r="CC289" s="39">
        <v>0</v>
      </c>
      <c r="CD289" s="39"/>
      <c r="CE289" s="19">
        <f>SUM(CF289:CJ289)</f>
        <v>0</v>
      </c>
      <c r="CF289" s="39">
        <v>0</v>
      </c>
      <c r="CG289" s="39">
        <v>0</v>
      </c>
      <c r="CH289" s="39">
        <v>0</v>
      </c>
      <c r="CI289" s="39">
        <v>0</v>
      </c>
      <c r="CJ289" s="39">
        <v>0</v>
      </c>
      <c r="CK289" s="39">
        <f t="shared" si="764"/>
        <v>0</v>
      </c>
      <c r="CL289" s="39">
        <v>0</v>
      </c>
      <c r="CM289" s="39">
        <v>0</v>
      </c>
      <c r="CN289" s="39"/>
      <c r="CO289" s="39">
        <v>0</v>
      </c>
      <c r="CP289" s="75"/>
      <c r="CQ289" s="75"/>
      <c r="CR289" s="75"/>
      <c r="CS289" s="39">
        <f t="shared" ref="CS289" si="809">SUM(CT289)</f>
        <v>0</v>
      </c>
      <c r="CT289" s="39">
        <f t="shared" ref="CT289" si="810">SUM(CU289:CV289)</f>
        <v>0</v>
      </c>
      <c r="CU289" s="39">
        <v>0</v>
      </c>
      <c r="CV289" s="41">
        <v>0</v>
      </c>
      <c r="CW289" s="52"/>
    </row>
    <row r="290" spans="1:101" ht="31.2" x14ac:dyDescent="0.3">
      <c r="A290" s="104" t="s">
        <v>309</v>
      </c>
      <c r="B290" s="16" t="s">
        <v>1</v>
      </c>
      <c r="C290" s="17" t="s">
        <v>310</v>
      </c>
      <c r="D290" s="18">
        <f t="shared" ref="D290:AI290" si="811">SUM(D291)</f>
        <v>7572299</v>
      </c>
      <c r="E290" s="18">
        <f t="shared" si="811"/>
        <v>7572299</v>
      </c>
      <c r="F290" s="18">
        <f t="shared" si="811"/>
        <v>0</v>
      </c>
      <c r="G290" s="18">
        <f t="shared" si="811"/>
        <v>0</v>
      </c>
      <c r="H290" s="18">
        <f t="shared" si="811"/>
        <v>0</v>
      </c>
      <c r="I290" s="18">
        <f t="shared" si="811"/>
        <v>0</v>
      </c>
      <c r="J290" s="18">
        <f t="shared" si="811"/>
        <v>0</v>
      </c>
      <c r="K290" s="18">
        <f t="shared" si="811"/>
        <v>0</v>
      </c>
      <c r="L290" s="18">
        <f t="shared" si="811"/>
        <v>0</v>
      </c>
      <c r="M290" s="18">
        <f t="shared" si="811"/>
        <v>0</v>
      </c>
      <c r="N290" s="18">
        <f t="shared" si="811"/>
        <v>0</v>
      </c>
      <c r="O290" s="18">
        <f t="shared" si="811"/>
        <v>0</v>
      </c>
      <c r="P290" s="18">
        <f t="shared" si="811"/>
        <v>0</v>
      </c>
      <c r="Q290" s="18">
        <f t="shared" si="811"/>
        <v>0</v>
      </c>
      <c r="R290" s="18">
        <f t="shared" si="811"/>
        <v>0</v>
      </c>
      <c r="S290" s="18">
        <f t="shared" si="811"/>
        <v>0</v>
      </c>
      <c r="T290" s="18">
        <f t="shared" si="811"/>
        <v>0</v>
      </c>
      <c r="U290" s="18">
        <f t="shared" si="811"/>
        <v>0</v>
      </c>
      <c r="V290" s="18">
        <f t="shared" si="811"/>
        <v>0</v>
      </c>
      <c r="W290" s="18">
        <f t="shared" si="811"/>
        <v>0</v>
      </c>
      <c r="X290" s="18">
        <f t="shared" si="811"/>
        <v>0</v>
      </c>
      <c r="Y290" s="18">
        <f t="shared" si="811"/>
        <v>0</v>
      </c>
      <c r="Z290" s="18">
        <f t="shared" si="811"/>
        <v>0</v>
      </c>
      <c r="AA290" s="18">
        <f t="shared" si="811"/>
        <v>0</v>
      </c>
      <c r="AB290" s="18">
        <f t="shared" si="811"/>
        <v>0</v>
      </c>
      <c r="AC290" s="18">
        <f t="shared" si="811"/>
        <v>0</v>
      </c>
      <c r="AD290" s="18">
        <f t="shared" si="811"/>
        <v>0</v>
      </c>
      <c r="AE290" s="18">
        <f t="shared" si="811"/>
        <v>0</v>
      </c>
      <c r="AF290" s="18">
        <f t="shared" si="811"/>
        <v>0</v>
      </c>
      <c r="AG290" s="18">
        <f t="shared" si="811"/>
        <v>0</v>
      </c>
      <c r="AH290" s="18">
        <f t="shared" si="811"/>
        <v>0</v>
      </c>
      <c r="AI290" s="18">
        <f t="shared" si="811"/>
        <v>0</v>
      </c>
      <c r="AJ290" s="18">
        <f t="shared" ref="AJ290:CT290" si="812">SUM(AJ291)</f>
        <v>0</v>
      </c>
      <c r="AK290" s="18">
        <f t="shared" si="812"/>
        <v>0</v>
      </c>
      <c r="AL290" s="18">
        <f t="shared" si="812"/>
        <v>0</v>
      </c>
      <c r="AM290" s="18">
        <f t="shared" si="812"/>
        <v>0</v>
      </c>
      <c r="AN290" s="18">
        <f t="shared" si="812"/>
        <v>0</v>
      </c>
      <c r="AO290" s="18">
        <f t="shared" si="812"/>
        <v>0</v>
      </c>
      <c r="AP290" s="18">
        <f t="shared" si="812"/>
        <v>0</v>
      </c>
      <c r="AQ290" s="18">
        <f t="shared" si="812"/>
        <v>0</v>
      </c>
      <c r="AR290" s="18">
        <f t="shared" si="812"/>
        <v>0</v>
      </c>
      <c r="AS290" s="18">
        <f t="shared" si="812"/>
        <v>0</v>
      </c>
      <c r="AT290" s="18">
        <f t="shared" si="812"/>
        <v>0</v>
      </c>
      <c r="AU290" s="18">
        <f t="shared" si="812"/>
        <v>0</v>
      </c>
      <c r="AV290" s="18">
        <f t="shared" si="812"/>
        <v>0</v>
      </c>
      <c r="AW290" s="18">
        <f t="shared" si="812"/>
        <v>0</v>
      </c>
      <c r="AX290" s="18">
        <f t="shared" si="812"/>
        <v>0</v>
      </c>
      <c r="AY290" s="18"/>
      <c r="AZ290" s="18">
        <f t="shared" si="812"/>
        <v>0</v>
      </c>
      <c r="BA290" s="18">
        <f t="shared" si="812"/>
        <v>7572299</v>
      </c>
      <c r="BB290" s="18">
        <f t="shared" si="812"/>
        <v>0</v>
      </c>
      <c r="BC290" s="18">
        <f t="shared" si="812"/>
        <v>0</v>
      </c>
      <c r="BD290" s="18">
        <f t="shared" si="812"/>
        <v>0</v>
      </c>
      <c r="BE290" s="18">
        <f t="shared" si="812"/>
        <v>0</v>
      </c>
      <c r="BF290" s="38">
        <f>SUM(BG290:BH290)</f>
        <v>7572299</v>
      </c>
      <c r="BG290" s="18">
        <f t="shared" si="812"/>
        <v>0</v>
      </c>
      <c r="BH290" s="18">
        <f t="shared" si="812"/>
        <v>7572299</v>
      </c>
      <c r="BI290" s="18">
        <f t="shared" si="812"/>
        <v>0</v>
      </c>
      <c r="BJ290" s="18">
        <f t="shared" si="812"/>
        <v>0</v>
      </c>
      <c r="BK290" s="18">
        <f t="shared" si="812"/>
        <v>0</v>
      </c>
      <c r="BL290" s="18">
        <f t="shared" si="812"/>
        <v>0</v>
      </c>
      <c r="BM290" s="18">
        <f t="shared" si="812"/>
        <v>0</v>
      </c>
      <c r="BN290" s="18">
        <f t="shared" si="812"/>
        <v>0</v>
      </c>
      <c r="BO290" s="18">
        <f t="shared" si="812"/>
        <v>0</v>
      </c>
      <c r="BP290" s="18">
        <f t="shared" si="812"/>
        <v>0</v>
      </c>
      <c r="BQ290" s="18">
        <f t="shared" si="812"/>
        <v>0</v>
      </c>
      <c r="BR290" s="18">
        <f t="shared" si="812"/>
        <v>0</v>
      </c>
      <c r="BS290" s="18">
        <f t="shared" si="812"/>
        <v>0</v>
      </c>
      <c r="BT290" s="18">
        <f t="shared" si="812"/>
        <v>0</v>
      </c>
      <c r="BU290" s="18">
        <f t="shared" si="812"/>
        <v>0</v>
      </c>
      <c r="BV290" s="18">
        <f t="shared" si="812"/>
        <v>0</v>
      </c>
      <c r="BW290" s="18">
        <f t="shared" si="812"/>
        <v>0</v>
      </c>
      <c r="BX290" s="18">
        <f t="shared" si="812"/>
        <v>0</v>
      </c>
      <c r="BY290" s="18">
        <f t="shared" si="812"/>
        <v>0</v>
      </c>
      <c r="BZ290" s="18">
        <f t="shared" si="762"/>
        <v>0</v>
      </c>
      <c r="CA290" s="18">
        <f t="shared" si="812"/>
        <v>0</v>
      </c>
      <c r="CB290" s="18">
        <f t="shared" si="812"/>
        <v>0</v>
      </c>
      <c r="CC290" s="18">
        <f t="shared" si="812"/>
        <v>0</v>
      </c>
      <c r="CD290" s="18">
        <f t="shared" si="812"/>
        <v>0</v>
      </c>
      <c r="CE290" s="18">
        <f t="shared" si="812"/>
        <v>0</v>
      </c>
      <c r="CF290" s="18">
        <f t="shared" si="812"/>
        <v>0</v>
      </c>
      <c r="CG290" s="18">
        <f t="shared" si="812"/>
        <v>0</v>
      </c>
      <c r="CH290" s="18">
        <f t="shared" si="812"/>
        <v>0</v>
      </c>
      <c r="CI290" s="18">
        <f t="shared" si="812"/>
        <v>0</v>
      </c>
      <c r="CJ290" s="18">
        <f t="shared" si="812"/>
        <v>0</v>
      </c>
      <c r="CK290" s="18">
        <f t="shared" si="812"/>
        <v>0</v>
      </c>
      <c r="CL290" s="18">
        <f t="shared" si="812"/>
        <v>0</v>
      </c>
      <c r="CM290" s="18">
        <f t="shared" si="812"/>
        <v>0</v>
      </c>
      <c r="CN290" s="18"/>
      <c r="CO290" s="18">
        <f t="shared" si="812"/>
        <v>0</v>
      </c>
      <c r="CP290" s="74"/>
      <c r="CQ290" s="74"/>
      <c r="CR290" s="74"/>
      <c r="CS290" s="18">
        <f t="shared" si="812"/>
        <v>0</v>
      </c>
      <c r="CT290" s="18">
        <f t="shared" si="812"/>
        <v>0</v>
      </c>
      <c r="CU290" s="18">
        <f t="shared" ref="CU290:CV290" si="813">SUM(CU291)</f>
        <v>0</v>
      </c>
      <c r="CV290" s="46">
        <f t="shared" si="813"/>
        <v>0</v>
      </c>
      <c r="CW290" s="52"/>
    </row>
    <row r="291" spans="1:101" s="52" customFormat="1" ht="15.6" x14ac:dyDescent="0.3">
      <c r="A291" s="105" t="s">
        <v>1</v>
      </c>
      <c r="B291" s="21" t="s">
        <v>311</v>
      </c>
      <c r="C291" s="22" t="s">
        <v>310</v>
      </c>
      <c r="D291" s="19">
        <f>SUM(E291+BZ291+CS291)</f>
        <v>7572299</v>
      </c>
      <c r="E291" s="19">
        <f>SUM(F291+BA291)</f>
        <v>7572299</v>
      </c>
      <c r="F291" s="19">
        <f>SUM(G291+H291+I291+P291+S291+T291+U291+AE291+AD291)</f>
        <v>0</v>
      </c>
      <c r="G291" s="19">
        <v>0</v>
      </c>
      <c r="H291" s="19">
        <v>0</v>
      </c>
      <c r="I291" s="19">
        <f>SUM(J291:O291)</f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f>SUM(Q291:R291)</f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f t="shared" ref="U291" si="814">SUM(V291:AC291)</f>
        <v>0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f>SUM(AF291:AZ291)</f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>
        <v>0</v>
      </c>
      <c r="AL291" s="19">
        <v>0</v>
      </c>
      <c r="AM291" s="19">
        <v>0</v>
      </c>
      <c r="AN291" s="19">
        <v>0</v>
      </c>
      <c r="AO291" s="19">
        <v>0</v>
      </c>
      <c r="AP291" s="19">
        <v>0</v>
      </c>
      <c r="AQ291" s="19">
        <v>0</v>
      </c>
      <c r="AR291" s="19">
        <v>0</v>
      </c>
      <c r="AS291" s="19">
        <v>0</v>
      </c>
      <c r="AT291" s="19">
        <v>0</v>
      </c>
      <c r="AU291" s="19">
        <v>0</v>
      </c>
      <c r="AV291" s="19">
        <v>0</v>
      </c>
      <c r="AW291" s="19">
        <v>0</v>
      </c>
      <c r="AX291" s="19">
        <v>0</v>
      </c>
      <c r="AY291" s="19"/>
      <c r="AZ291" s="19">
        <v>0</v>
      </c>
      <c r="BA291" s="19">
        <f>SUM(BB291+BF291+BI291+BK291+BN291)</f>
        <v>7572299</v>
      </c>
      <c r="BB291" s="19">
        <f>SUM(BC291:BE291)</f>
        <v>0</v>
      </c>
      <c r="BC291" s="19">
        <v>0</v>
      </c>
      <c r="BD291" s="19">
        <v>0</v>
      </c>
      <c r="BE291" s="19">
        <v>0</v>
      </c>
      <c r="BF291" s="39">
        <f>SUM(BG291:BH291)</f>
        <v>7572299</v>
      </c>
      <c r="BG291" s="19">
        <v>0</v>
      </c>
      <c r="BH291" s="23">
        <f>7492292+80007</f>
        <v>7572299</v>
      </c>
      <c r="BI291" s="19">
        <v>0</v>
      </c>
      <c r="BJ291" s="19">
        <v>0</v>
      </c>
      <c r="BK291" s="19">
        <f>SUM(BL291)</f>
        <v>0</v>
      </c>
      <c r="BL291" s="19">
        <v>0</v>
      </c>
      <c r="BM291" s="19">
        <v>0</v>
      </c>
      <c r="BN291" s="19">
        <f>SUM(BO291:BY291)</f>
        <v>0</v>
      </c>
      <c r="BO291" s="19">
        <v>0</v>
      </c>
      <c r="BP291" s="19">
        <v>0</v>
      </c>
      <c r="BQ291" s="19">
        <v>0</v>
      </c>
      <c r="BR291" s="19">
        <v>0</v>
      </c>
      <c r="BS291" s="19">
        <v>0</v>
      </c>
      <c r="BT291" s="19">
        <v>0</v>
      </c>
      <c r="BU291" s="19">
        <v>0</v>
      </c>
      <c r="BV291" s="19">
        <v>0</v>
      </c>
      <c r="BW291" s="19">
        <v>0</v>
      </c>
      <c r="BX291" s="19">
        <v>0</v>
      </c>
      <c r="BY291" s="19">
        <v>0</v>
      </c>
      <c r="BZ291" s="19">
        <f t="shared" si="762"/>
        <v>0</v>
      </c>
      <c r="CA291" s="19">
        <f>SUM(CB291+CE291+CK291)</f>
        <v>0</v>
      </c>
      <c r="CB291" s="19">
        <f>SUM(CC291:CD291)</f>
        <v>0</v>
      </c>
      <c r="CC291" s="19">
        <v>0</v>
      </c>
      <c r="CD291" s="19">
        <v>0</v>
      </c>
      <c r="CE291" s="19">
        <f>SUM(CF291:CJ291)</f>
        <v>0</v>
      </c>
      <c r="CF291" s="19">
        <v>0</v>
      </c>
      <c r="CG291" s="19">
        <v>0</v>
      </c>
      <c r="CH291" s="19">
        <v>0</v>
      </c>
      <c r="CI291" s="19">
        <v>0</v>
      </c>
      <c r="CJ291" s="19">
        <v>0</v>
      </c>
      <c r="CK291" s="19">
        <f>SUM(CL291:CN291)</f>
        <v>0</v>
      </c>
      <c r="CL291" s="19">
        <v>0</v>
      </c>
      <c r="CM291" s="19">
        <v>0</v>
      </c>
      <c r="CN291" s="19"/>
      <c r="CO291" s="19">
        <v>0</v>
      </c>
      <c r="CP291" s="75"/>
      <c r="CQ291" s="75"/>
      <c r="CR291" s="75"/>
      <c r="CS291" s="19">
        <f>SUM(CT291)</f>
        <v>0</v>
      </c>
      <c r="CT291" s="19">
        <f>SUM(CU291:CV291)</f>
        <v>0</v>
      </c>
      <c r="CU291" s="19">
        <v>0</v>
      </c>
      <c r="CV291" s="20">
        <v>0</v>
      </c>
      <c r="CW291" s="57"/>
    </row>
    <row r="292" spans="1:101" s="52" customFormat="1" ht="31.2" x14ac:dyDescent="0.3">
      <c r="A292" s="104" t="s">
        <v>312</v>
      </c>
      <c r="B292" s="16" t="s">
        <v>1</v>
      </c>
      <c r="C292" s="17" t="s">
        <v>525</v>
      </c>
      <c r="D292" s="18">
        <f>SUM(D293:D294)</f>
        <v>30717531</v>
      </c>
      <c r="E292" s="18">
        <f t="shared" ref="E292:BP292" si="815">SUM(E293:E294)</f>
        <v>25930036</v>
      </c>
      <c r="F292" s="18">
        <f t="shared" si="815"/>
        <v>0</v>
      </c>
      <c r="G292" s="18">
        <f t="shared" si="815"/>
        <v>0</v>
      </c>
      <c r="H292" s="18">
        <f t="shared" si="815"/>
        <v>0</v>
      </c>
      <c r="I292" s="18">
        <f t="shared" si="815"/>
        <v>0</v>
      </c>
      <c r="J292" s="18">
        <f t="shared" si="815"/>
        <v>0</v>
      </c>
      <c r="K292" s="18">
        <f t="shared" si="815"/>
        <v>0</v>
      </c>
      <c r="L292" s="18">
        <f t="shared" si="815"/>
        <v>0</v>
      </c>
      <c r="M292" s="18">
        <f t="shared" si="815"/>
        <v>0</v>
      </c>
      <c r="N292" s="18">
        <f t="shared" si="815"/>
        <v>0</v>
      </c>
      <c r="O292" s="18">
        <f t="shared" si="815"/>
        <v>0</v>
      </c>
      <c r="P292" s="18">
        <f t="shared" si="815"/>
        <v>0</v>
      </c>
      <c r="Q292" s="18">
        <f t="shared" si="815"/>
        <v>0</v>
      </c>
      <c r="R292" s="18">
        <f t="shared" si="815"/>
        <v>0</v>
      </c>
      <c r="S292" s="18">
        <f t="shared" si="815"/>
        <v>0</v>
      </c>
      <c r="T292" s="18">
        <f t="shared" si="815"/>
        <v>0</v>
      </c>
      <c r="U292" s="18">
        <f t="shared" si="815"/>
        <v>0</v>
      </c>
      <c r="V292" s="18">
        <f t="shared" si="815"/>
        <v>0</v>
      </c>
      <c r="W292" s="18">
        <f t="shared" si="815"/>
        <v>0</v>
      </c>
      <c r="X292" s="18">
        <f t="shared" si="815"/>
        <v>0</v>
      </c>
      <c r="Y292" s="18">
        <f t="shared" si="815"/>
        <v>0</v>
      </c>
      <c r="Z292" s="18">
        <f t="shared" si="815"/>
        <v>0</v>
      </c>
      <c r="AA292" s="18">
        <f t="shared" si="815"/>
        <v>0</v>
      </c>
      <c r="AB292" s="18">
        <f t="shared" si="815"/>
        <v>0</v>
      </c>
      <c r="AC292" s="18">
        <f t="shared" si="815"/>
        <v>0</v>
      </c>
      <c r="AD292" s="18">
        <f t="shared" si="815"/>
        <v>0</v>
      </c>
      <c r="AE292" s="18">
        <f t="shared" si="815"/>
        <v>0</v>
      </c>
      <c r="AF292" s="18">
        <f t="shared" si="815"/>
        <v>0</v>
      </c>
      <c r="AG292" s="18">
        <f t="shared" si="815"/>
        <v>0</v>
      </c>
      <c r="AH292" s="18">
        <f t="shared" si="815"/>
        <v>0</v>
      </c>
      <c r="AI292" s="18">
        <f t="shared" si="815"/>
        <v>0</v>
      </c>
      <c r="AJ292" s="18">
        <f t="shared" si="815"/>
        <v>0</v>
      </c>
      <c r="AK292" s="18">
        <f t="shared" si="815"/>
        <v>0</v>
      </c>
      <c r="AL292" s="18">
        <f t="shared" si="815"/>
        <v>0</v>
      </c>
      <c r="AM292" s="18">
        <f t="shared" si="815"/>
        <v>0</v>
      </c>
      <c r="AN292" s="18">
        <f t="shared" si="815"/>
        <v>0</v>
      </c>
      <c r="AO292" s="18">
        <f t="shared" si="815"/>
        <v>0</v>
      </c>
      <c r="AP292" s="18">
        <f t="shared" si="815"/>
        <v>0</v>
      </c>
      <c r="AQ292" s="18">
        <f t="shared" si="815"/>
        <v>0</v>
      </c>
      <c r="AR292" s="18">
        <f t="shared" si="815"/>
        <v>0</v>
      </c>
      <c r="AS292" s="18">
        <f t="shared" si="815"/>
        <v>0</v>
      </c>
      <c r="AT292" s="18">
        <f t="shared" si="815"/>
        <v>0</v>
      </c>
      <c r="AU292" s="18">
        <f t="shared" si="815"/>
        <v>0</v>
      </c>
      <c r="AV292" s="18">
        <f t="shared" si="815"/>
        <v>0</v>
      </c>
      <c r="AW292" s="18">
        <f t="shared" si="815"/>
        <v>0</v>
      </c>
      <c r="AX292" s="18">
        <f t="shared" si="815"/>
        <v>0</v>
      </c>
      <c r="AY292" s="18">
        <f t="shared" si="815"/>
        <v>0</v>
      </c>
      <c r="AZ292" s="18">
        <f t="shared" si="815"/>
        <v>0</v>
      </c>
      <c r="BA292" s="18">
        <f t="shared" si="815"/>
        <v>25930036</v>
      </c>
      <c r="BB292" s="18">
        <f t="shared" si="815"/>
        <v>0</v>
      </c>
      <c r="BC292" s="18">
        <f t="shared" si="815"/>
        <v>0</v>
      </c>
      <c r="BD292" s="18">
        <f t="shared" si="815"/>
        <v>0</v>
      </c>
      <c r="BE292" s="18">
        <f t="shared" si="815"/>
        <v>0</v>
      </c>
      <c r="BF292" s="18">
        <f t="shared" si="815"/>
        <v>0</v>
      </c>
      <c r="BG292" s="18">
        <f t="shared" si="815"/>
        <v>0</v>
      </c>
      <c r="BH292" s="18">
        <f t="shared" si="815"/>
        <v>0</v>
      </c>
      <c r="BI292" s="18">
        <f t="shared" si="815"/>
        <v>0</v>
      </c>
      <c r="BJ292" s="18">
        <f t="shared" si="815"/>
        <v>0</v>
      </c>
      <c r="BK292" s="18">
        <f t="shared" si="815"/>
        <v>0</v>
      </c>
      <c r="BL292" s="18">
        <f t="shared" si="815"/>
        <v>0</v>
      </c>
      <c r="BM292" s="18">
        <f t="shared" si="815"/>
        <v>0</v>
      </c>
      <c r="BN292" s="18">
        <f t="shared" si="815"/>
        <v>25930036</v>
      </c>
      <c r="BO292" s="18">
        <f t="shared" si="815"/>
        <v>0</v>
      </c>
      <c r="BP292" s="18">
        <f t="shared" si="815"/>
        <v>0</v>
      </c>
      <c r="BQ292" s="18">
        <f t="shared" ref="BQ292:CV292" si="816">SUM(BQ293:BQ294)</f>
        <v>0</v>
      </c>
      <c r="BR292" s="18">
        <f t="shared" si="816"/>
        <v>0</v>
      </c>
      <c r="BS292" s="18">
        <f t="shared" si="816"/>
        <v>0</v>
      </c>
      <c r="BT292" s="18">
        <f t="shared" si="816"/>
        <v>0</v>
      </c>
      <c r="BU292" s="18">
        <f t="shared" si="816"/>
        <v>0</v>
      </c>
      <c r="BV292" s="18">
        <f t="shared" si="816"/>
        <v>0</v>
      </c>
      <c r="BW292" s="18">
        <f t="shared" si="816"/>
        <v>0</v>
      </c>
      <c r="BX292" s="18">
        <f t="shared" si="816"/>
        <v>0</v>
      </c>
      <c r="BY292" s="18">
        <f t="shared" si="816"/>
        <v>25930036</v>
      </c>
      <c r="BZ292" s="18">
        <f t="shared" si="816"/>
        <v>4787495</v>
      </c>
      <c r="CA292" s="18">
        <f t="shared" si="816"/>
        <v>4787495</v>
      </c>
      <c r="CB292" s="18">
        <f t="shared" si="816"/>
        <v>0</v>
      </c>
      <c r="CC292" s="18">
        <f t="shared" si="816"/>
        <v>0</v>
      </c>
      <c r="CD292" s="18">
        <f t="shared" si="816"/>
        <v>0</v>
      </c>
      <c r="CE292" s="18">
        <f t="shared" si="816"/>
        <v>4787495</v>
      </c>
      <c r="CF292" s="18">
        <f t="shared" si="816"/>
        <v>0</v>
      </c>
      <c r="CG292" s="18">
        <f t="shared" si="816"/>
        <v>0</v>
      </c>
      <c r="CH292" s="18">
        <f t="shared" si="816"/>
        <v>0</v>
      </c>
      <c r="CI292" s="18">
        <f t="shared" si="816"/>
        <v>4787495</v>
      </c>
      <c r="CJ292" s="18">
        <f t="shared" si="816"/>
        <v>0</v>
      </c>
      <c r="CK292" s="18">
        <f t="shared" si="816"/>
        <v>0</v>
      </c>
      <c r="CL292" s="18">
        <f t="shared" si="816"/>
        <v>0</v>
      </c>
      <c r="CM292" s="18">
        <f t="shared" si="816"/>
        <v>0</v>
      </c>
      <c r="CN292" s="18">
        <f t="shared" si="816"/>
        <v>0</v>
      </c>
      <c r="CO292" s="18">
        <f t="shared" si="816"/>
        <v>0</v>
      </c>
      <c r="CP292" s="74">
        <f t="shared" si="816"/>
        <v>0</v>
      </c>
      <c r="CQ292" s="74">
        <f t="shared" si="816"/>
        <v>0</v>
      </c>
      <c r="CR292" s="74">
        <f t="shared" si="816"/>
        <v>0</v>
      </c>
      <c r="CS292" s="18">
        <f t="shared" si="816"/>
        <v>0</v>
      </c>
      <c r="CT292" s="18">
        <f t="shared" si="816"/>
        <v>0</v>
      </c>
      <c r="CU292" s="18">
        <f t="shared" si="816"/>
        <v>0</v>
      </c>
      <c r="CV292" s="46">
        <f t="shared" si="816"/>
        <v>0</v>
      </c>
    </row>
    <row r="293" spans="1:101" s="57" customFormat="1" ht="31.2" x14ac:dyDescent="0.3">
      <c r="A293" s="105" t="s">
        <v>1</v>
      </c>
      <c r="B293" s="21" t="s">
        <v>66</v>
      </c>
      <c r="C293" s="22" t="s">
        <v>526</v>
      </c>
      <c r="D293" s="19">
        <f>SUM(E293+BZ293+CS293)</f>
        <v>25930036</v>
      </c>
      <c r="E293" s="19">
        <f>SUM(F293+BA293)</f>
        <v>25930036</v>
      </c>
      <c r="F293" s="19">
        <f>SUM(G293+H293+I293+P293+S293+T293+U293+AE293+AD293)</f>
        <v>0</v>
      </c>
      <c r="G293" s="19">
        <v>0</v>
      </c>
      <c r="H293" s="19">
        <v>0</v>
      </c>
      <c r="I293" s="19">
        <f t="shared" ref="I293:I304" si="817">SUM(J293:O293)</f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f t="shared" ref="P293:P304" si="818">SUM(Q293:R293)</f>
        <v>0</v>
      </c>
      <c r="Q293" s="19">
        <v>0</v>
      </c>
      <c r="R293" s="19">
        <v>0</v>
      </c>
      <c r="S293" s="19">
        <v>0</v>
      </c>
      <c r="T293" s="19">
        <v>0</v>
      </c>
      <c r="U293" s="19">
        <f t="shared" ref="U293" si="819">SUM(V293:AC293)</f>
        <v>0</v>
      </c>
      <c r="V293" s="19">
        <v>0</v>
      </c>
      <c r="W293" s="19">
        <v>0</v>
      </c>
      <c r="X293" s="19">
        <v>0</v>
      </c>
      <c r="Y293" s="19">
        <v>0</v>
      </c>
      <c r="Z293" s="19">
        <v>0</v>
      </c>
      <c r="AA293" s="19">
        <v>0</v>
      </c>
      <c r="AB293" s="19">
        <v>0</v>
      </c>
      <c r="AC293" s="19">
        <v>0</v>
      </c>
      <c r="AD293" s="19">
        <v>0</v>
      </c>
      <c r="AE293" s="19">
        <f>SUM(AF293:AZ293)</f>
        <v>0</v>
      </c>
      <c r="AF293" s="19">
        <v>0</v>
      </c>
      <c r="AG293" s="19">
        <v>0</v>
      </c>
      <c r="AH293" s="19">
        <v>0</v>
      </c>
      <c r="AI293" s="19">
        <v>0</v>
      </c>
      <c r="AJ293" s="19">
        <v>0</v>
      </c>
      <c r="AK293" s="19">
        <v>0</v>
      </c>
      <c r="AL293" s="19">
        <v>0</v>
      </c>
      <c r="AM293" s="19">
        <v>0</v>
      </c>
      <c r="AN293" s="19">
        <v>0</v>
      </c>
      <c r="AO293" s="19">
        <v>0</v>
      </c>
      <c r="AP293" s="19">
        <v>0</v>
      </c>
      <c r="AQ293" s="19">
        <v>0</v>
      </c>
      <c r="AR293" s="19">
        <v>0</v>
      </c>
      <c r="AS293" s="19">
        <v>0</v>
      </c>
      <c r="AT293" s="19">
        <v>0</v>
      </c>
      <c r="AU293" s="19">
        <v>0</v>
      </c>
      <c r="AV293" s="19">
        <v>0</v>
      </c>
      <c r="AW293" s="19">
        <v>0</v>
      </c>
      <c r="AX293" s="19">
        <v>0</v>
      </c>
      <c r="AY293" s="19"/>
      <c r="AZ293" s="19"/>
      <c r="BA293" s="19">
        <f>SUM(BB293+BF293+BI293+BK293+BN293)</f>
        <v>25930036</v>
      </c>
      <c r="BB293" s="19">
        <f>SUM(BC293:BE293)</f>
        <v>0</v>
      </c>
      <c r="BC293" s="19">
        <v>0</v>
      </c>
      <c r="BD293" s="19">
        <v>0</v>
      </c>
      <c r="BE293" s="19">
        <v>0</v>
      </c>
      <c r="BF293" s="19">
        <f>SUM(BH293:BH293)</f>
        <v>0</v>
      </c>
      <c r="BG293" s="19">
        <v>0</v>
      </c>
      <c r="BH293" s="19">
        <v>0</v>
      </c>
      <c r="BI293" s="19">
        <f>22780831-22780831</f>
        <v>0</v>
      </c>
      <c r="BJ293" s="19">
        <v>0</v>
      </c>
      <c r="BK293" s="19">
        <f t="shared" ref="BK293:BK304" si="820">SUM(BL293)</f>
        <v>0</v>
      </c>
      <c r="BL293" s="19">
        <v>0</v>
      </c>
      <c r="BM293" s="19">
        <v>0</v>
      </c>
      <c r="BN293" s="19">
        <f>SUM(BO293:BY293)</f>
        <v>25930036</v>
      </c>
      <c r="BO293" s="19">
        <v>0</v>
      </c>
      <c r="BP293" s="19">
        <v>0</v>
      </c>
      <c r="BQ293" s="19">
        <v>0</v>
      </c>
      <c r="BR293" s="19">
        <v>0</v>
      </c>
      <c r="BS293" s="19">
        <v>0</v>
      </c>
      <c r="BT293" s="19">
        <v>0</v>
      </c>
      <c r="BU293" s="19">
        <v>0</v>
      </c>
      <c r="BV293" s="19">
        <v>0</v>
      </c>
      <c r="BW293" s="19">
        <v>0</v>
      </c>
      <c r="BX293" s="19">
        <v>0</v>
      </c>
      <c r="BY293" s="19">
        <v>25930036</v>
      </c>
      <c r="BZ293" s="19">
        <f t="shared" ref="BZ293:BZ304" si="821">SUM(CA293+CO293)</f>
        <v>0</v>
      </c>
      <c r="CA293" s="19">
        <f>SUM(CB293+CE293+CK293)</f>
        <v>0</v>
      </c>
      <c r="CB293" s="19">
        <f t="shared" ref="CB293:CB304" si="822">SUM(CC293:CD293)</f>
        <v>0</v>
      </c>
      <c r="CC293" s="19">
        <v>0</v>
      </c>
      <c r="CD293" s="19">
        <v>0</v>
      </c>
      <c r="CE293" s="19">
        <f>SUM(CF293:CJ293)</f>
        <v>0</v>
      </c>
      <c r="CF293" s="19">
        <v>0</v>
      </c>
      <c r="CG293" s="19"/>
      <c r="CH293" s="19">
        <v>0</v>
      </c>
      <c r="CI293" s="19">
        <v>0</v>
      </c>
      <c r="CJ293" s="19">
        <v>0</v>
      </c>
      <c r="CK293" s="19">
        <f>SUM(CL293:CN293)</f>
        <v>0</v>
      </c>
      <c r="CL293" s="19"/>
      <c r="CM293" s="19">
        <v>0</v>
      </c>
      <c r="CN293" s="19"/>
      <c r="CO293" s="19">
        <v>0</v>
      </c>
      <c r="CP293" s="75"/>
      <c r="CQ293" s="75"/>
      <c r="CR293" s="75"/>
      <c r="CS293" s="19">
        <f t="shared" ref="CS293:CS304" si="823">SUM(CT293)</f>
        <v>0</v>
      </c>
      <c r="CT293" s="19">
        <f t="shared" ref="CT293:CT304" si="824">SUM(CU293:CV293)</f>
        <v>0</v>
      </c>
      <c r="CU293" s="19">
        <v>0</v>
      </c>
      <c r="CV293" s="20">
        <v>0</v>
      </c>
    </row>
    <row r="294" spans="1:101" s="52" customFormat="1" ht="31.2" x14ac:dyDescent="0.3">
      <c r="A294" s="105"/>
      <c r="B294" s="21" t="s">
        <v>271</v>
      </c>
      <c r="C294" s="22" t="s">
        <v>526</v>
      </c>
      <c r="D294" s="19">
        <f>SUM(E294+BZ294+CS294)</f>
        <v>4787495</v>
      </c>
      <c r="E294" s="19">
        <f>SUM(F294+BA294)</f>
        <v>0</v>
      </c>
      <c r="F294" s="19">
        <f>SUM(G294+H294+I294+P294+S294+T294+U294+AE294+AD294)</f>
        <v>0</v>
      </c>
      <c r="G294" s="19">
        <v>0</v>
      </c>
      <c r="H294" s="19">
        <v>0</v>
      </c>
      <c r="I294" s="19">
        <f t="shared" ref="I294" si="825">SUM(J294:O294)</f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f t="shared" ref="P294" si="826">SUM(Q294:R294)</f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f t="shared" ref="U294" si="827">SUM(V294:AC294)</f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f>SUM(AF294:AZ294)</f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v>0</v>
      </c>
      <c r="AV294" s="19">
        <v>0</v>
      </c>
      <c r="AW294" s="19">
        <v>0</v>
      </c>
      <c r="AX294" s="19">
        <v>0</v>
      </c>
      <c r="AY294" s="19"/>
      <c r="AZ294" s="19"/>
      <c r="BA294" s="19">
        <f>SUM(BB294+BF294+BI294+BK294+BN294)</f>
        <v>0</v>
      </c>
      <c r="BB294" s="19">
        <f>SUM(BC294:BE294)</f>
        <v>0</v>
      </c>
      <c r="BC294" s="19">
        <v>0</v>
      </c>
      <c r="BD294" s="19">
        <v>0</v>
      </c>
      <c r="BE294" s="19">
        <v>0</v>
      </c>
      <c r="BF294" s="19">
        <f>SUM(BH294:BH294)</f>
        <v>0</v>
      </c>
      <c r="BG294" s="19">
        <v>0</v>
      </c>
      <c r="BH294" s="19">
        <v>0</v>
      </c>
      <c r="BI294" s="19"/>
      <c r="BJ294" s="19">
        <v>0</v>
      </c>
      <c r="BK294" s="19">
        <f t="shared" ref="BK294" si="828">SUM(BL294)</f>
        <v>0</v>
      </c>
      <c r="BL294" s="19">
        <v>0</v>
      </c>
      <c r="BM294" s="19">
        <v>0</v>
      </c>
      <c r="BN294" s="19">
        <f>SUM(BO294:BY294)</f>
        <v>0</v>
      </c>
      <c r="BO294" s="19">
        <v>0</v>
      </c>
      <c r="BP294" s="19">
        <v>0</v>
      </c>
      <c r="BQ294" s="19">
        <v>0</v>
      </c>
      <c r="BR294" s="19">
        <v>0</v>
      </c>
      <c r="BS294" s="19">
        <v>0</v>
      </c>
      <c r="BT294" s="19">
        <v>0</v>
      </c>
      <c r="BU294" s="19">
        <v>0</v>
      </c>
      <c r="BV294" s="19">
        <v>0</v>
      </c>
      <c r="BW294" s="19">
        <v>0</v>
      </c>
      <c r="BX294" s="19">
        <v>0</v>
      </c>
      <c r="BY294" s="19"/>
      <c r="BZ294" s="19">
        <f t="shared" si="821"/>
        <v>4787495</v>
      </c>
      <c r="CA294" s="19">
        <f>SUM(CB294+CE294+CK294)</f>
        <v>4787495</v>
      </c>
      <c r="CB294" s="19">
        <f t="shared" ref="CB294" si="829">SUM(CC294:CD294)</f>
        <v>0</v>
      </c>
      <c r="CC294" s="19">
        <v>0</v>
      </c>
      <c r="CD294" s="19">
        <v>0</v>
      </c>
      <c r="CE294" s="19">
        <f>SUM(CF294:CJ294)</f>
        <v>4787495</v>
      </c>
      <c r="CF294" s="19">
        <v>0</v>
      </c>
      <c r="CG294" s="19"/>
      <c r="CH294" s="19">
        <v>0</v>
      </c>
      <c r="CI294" s="19">
        <f>0+4787495</f>
        <v>4787495</v>
      </c>
      <c r="CJ294" s="19"/>
      <c r="CK294" s="19">
        <f>SUM(CL294:CN294)</f>
        <v>0</v>
      </c>
      <c r="CL294" s="19"/>
      <c r="CM294" s="19">
        <v>0</v>
      </c>
      <c r="CN294" s="19"/>
      <c r="CO294" s="19">
        <v>0</v>
      </c>
      <c r="CP294" s="75"/>
      <c r="CQ294" s="75"/>
      <c r="CR294" s="75"/>
      <c r="CS294" s="19">
        <f t="shared" ref="CS294" si="830">SUM(CT294)</f>
        <v>0</v>
      </c>
      <c r="CT294" s="19">
        <f t="shared" ref="CT294" si="831">SUM(CU294:CV294)</f>
        <v>0</v>
      </c>
      <c r="CU294" s="19">
        <v>0</v>
      </c>
      <c r="CV294" s="20">
        <v>0</v>
      </c>
      <c r="CW294" s="57"/>
    </row>
    <row r="295" spans="1:101" s="57" customFormat="1" ht="15.6" x14ac:dyDescent="0.3">
      <c r="A295" s="104" t="s">
        <v>313</v>
      </c>
      <c r="B295" s="16" t="s">
        <v>1</v>
      </c>
      <c r="C295" s="17" t="s">
        <v>314</v>
      </c>
      <c r="D295" s="18">
        <f t="shared" ref="D295:AK295" si="832">SUM(D296)</f>
        <v>167593521</v>
      </c>
      <c r="E295" s="18">
        <f t="shared" si="832"/>
        <v>3782298</v>
      </c>
      <c r="F295" s="18">
        <f t="shared" si="832"/>
        <v>3782298</v>
      </c>
      <c r="G295" s="18">
        <f t="shared" si="832"/>
        <v>0</v>
      </c>
      <c r="H295" s="18">
        <f t="shared" si="832"/>
        <v>0</v>
      </c>
      <c r="I295" s="18">
        <f t="shared" si="832"/>
        <v>0</v>
      </c>
      <c r="J295" s="18">
        <f t="shared" si="832"/>
        <v>0</v>
      </c>
      <c r="K295" s="18">
        <f t="shared" si="832"/>
        <v>0</v>
      </c>
      <c r="L295" s="18">
        <f t="shared" si="832"/>
        <v>0</v>
      </c>
      <c r="M295" s="18">
        <f t="shared" si="832"/>
        <v>0</v>
      </c>
      <c r="N295" s="18">
        <f t="shared" si="832"/>
        <v>0</v>
      </c>
      <c r="O295" s="18">
        <f t="shared" si="832"/>
        <v>0</v>
      </c>
      <c r="P295" s="18">
        <f t="shared" si="832"/>
        <v>0</v>
      </c>
      <c r="Q295" s="18">
        <f t="shared" si="832"/>
        <v>0</v>
      </c>
      <c r="R295" s="18">
        <f t="shared" si="832"/>
        <v>0</v>
      </c>
      <c r="S295" s="18">
        <f t="shared" si="832"/>
        <v>0</v>
      </c>
      <c r="T295" s="18">
        <f t="shared" si="832"/>
        <v>0</v>
      </c>
      <c r="U295" s="18">
        <f t="shared" si="832"/>
        <v>0</v>
      </c>
      <c r="V295" s="18">
        <f t="shared" si="832"/>
        <v>0</v>
      </c>
      <c r="W295" s="18">
        <f t="shared" si="832"/>
        <v>0</v>
      </c>
      <c r="X295" s="18">
        <f t="shared" si="832"/>
        <v>0</v>
      </c>
      <c r="Y295" s="18">
        <f t="shared" si="832"/>
        <v>0</v>
      </c>
      <c r="Z295" s="18">
        <f t="shared" si="832"/>
        <v>0</v>
      </c>
      <c r="AA295" s="18">
        <f t="shared" si="832"/>
        <v>0</v>
      </c>
      <c r="AB295" s="18">
        <f t="shared" si="832"/>
        <v>0</v>
      </c>
      <c r="AC295" s="18">
        <f t="shared" si="832"/>
        <v>0</v>
      </c>
      <c r="AD295" s="18">
        <f t="shared" si="832"/>
        <v>0</v>
      </c>
      <c r="AE295" s="18">
        <f t="shared" si="832"/>
        <v>3782298</v>
      </c>
      <c r="AF295" s="18">
        <f t="shared" si="832"/>
        <v>0</v>
      </c>
      <c r="AG295" s="18">
        <f t="shared" si="832"/>
        <v>0</v>
      </c>
      <c r="AH295" s="18">
        <f t="shared" si="832"/>
        <v>0</v>
      </c>
      <c r="AI295" s="18">
        <f t="shared" si="832"/>
        <v>0</v>
      </c>
      <c r="AJ295" s="18">
        <f t="shared" si="832"/>
        <v>0</v>
      </c>
      <c r="AK295" s="18">
        <f t="shared" si="832"/>
        <v>0</v>
      </c>
      <c r="AL295" s="18">
        <f t="shared" ref="AL295:CV295" si="833">SUM(AL296)</f>
        <v>0</v>
      </c>
      <c r="AM295" s="18">
        <f t="shared" si="833"/>
        <v>0</v>
      </c>
      <c r="AN295" s="18">
        <f t="shared" si="833"/>
        <v>0</v>
      </c>
      <c r="AO295" s="18">
        <f t="shared" si="833"/>
        <v>0</v>
      </c>
      <c r="AP295" s="18">
        <f t="shared" si="833"/>
        <v>0</v>
      </c>
      <c r="AQ295" s="18">
        <f t="shared" si="833"/>
        <v>0</v>
      </c>
      <c r="AR295" s="18">
        <f t="shared" si="833"/>
        <v>0</v>
      </c>
      <c r="AS295" s="18">
        <f t="shared" si="833"/>
        <v>0</v>
      </c>
      <c r="AT295" s="18">
        <f t="shared" si="833"/>
        <v>0</v>
      </c>
      <c r="AU295" s="18">
        <f t="shared" si="833"/>
        <v>0</v>
      </c>
      <c r="AV295" s="18">
        <f t="shared" si="833"/>
        <v>0</v>
      </c>
      <c r="AW295" s="18">
        <f t="shared" si="833"/>
        <v>0</v>
      </c>
      <c r="AX295" s="18">
        <f t="shared" si="833"/>
        <v>0</v>
      </c>
      <c r="AY295" s="18"/>
      <c r="AZ295" s="18">
        <f t="shared" si="833"/>
        <v>3782298</v>
      </c>
      <c r="BA295" s="18">
        <f t="shared" si="833"/>
        <v>0</v>
      </c>
      <c r="BB295" s="18">
        <f t="shared" si="833"/>
        <v>0</v>
      </c>
      <c r="BC295" s="18">
        <f t="shared" si="833"/>
        <v>0</v>
      </c>
      <c r="BD295" s="18">
        <f t="shared" si="833"/>
        <v>0</v>
      </c>
      <c r="BE295" s="18">
        <f t="shared" si="833"/>
        <v>0</v>
      </c>
      <c r="BF295" s="18">
        <f t="shared" si="833"/>
        <v>0</v>
      </c>
      <c r="BG295" s="18">
        <f t="shared" si="833"/>
        <v>0</v>
      </c>
      <c r="BH295" s="18">
        <f t="shared" si="833"/>
        <v>0</v>
      </c>
      <c r="BI295" s="18">
        <f t="shared" si="833"/>
        <v>0</v>
      </c>
      <c r="BJ295" s="18">
        <f t="shared" si="833"/>
        <v>0</v>
      </c>
      <c r="BK295" s="18">
        <f t="shared" si="833"/>
        <v>0</v>
      </c>
      <c r="BL295" s="18">
        <f t="shared" si="833"/>
        <v>0</v>
      </c>
      <c r="BM295" s="18">
        <f t="shared" si="833"/>
        <v>0</v>
      </c>
      <c r="BN295" s="18">
        <f t="shared" si="833"/>
        <v>0</v>
      </c>
      <c r="BO295" s="18">
        <f t="shared" si="833"/>
        <v>0</v>
      </c>
      <c r="BP295" s="18">
        <f t="shared" si="833"/>
        <v>0</v>
      </c>
      <c r="BQ295" s="18">
        <f t="shared" si="833"/>
        <v>0</v>
      </c>
      <c r="BR295" s="18">
        <f t="shared" si="833"/>
        <v>0</v>
      </c>
      <c r="BS295" s="18">
        <f t="shared" si="833"/>
        <v>0</v>
      </c>
      <c r="BT295" s="18">
        <f t="shared" si="833"/>
        <v>0</v>
      </c>
      <c r="BU295" s="18">
        <f t="shared" si="833"/>
        <v>0</v>
      </c>
      <c r="BV295" s="18">
        <f t="shared" si="833"/>
        <v>0</v>
      </c>
      <c r="BW295" s="18">
        <f t="shared" si="833"/>
        <v>0</v>
      </c>
      <c r="BX295" s="18">
        <f t="shared" si="833"/>
        <v>0</v>
      </c>
      <c r="BY295" s="18">
        <f t="shared" si="833"/>
        <v>0</v>
      </c>
      <c r="BZ295" s="18">
        <f t="shared" si="821"/>
        <v>163811223</v>
      </c>
      <c r="CA295" s="18">
        <f t="shared" si="833"/>
        <v>161126725</v>
      </c>
      <c r="CB295" s="18">
        <f t="shared" si="833"/>
        <v>0</v>
      </c>
      <c r="CC295" s="18">
        <f t="shared" si="833"/>
        <v>0</v>
      </c>
      <c r="CD295" s="18">
        <f t="shared" si="833"/>
        <v>0</v>
      </c>
      <c r="CE295" s="18">
        <f t="shared" si="833"/>
        <v>87785851</v>
      </c>
      <c r="CF295" s="18">
        <f t="shared" si="833"/>
        <v>0</v>
      </c>
      <c r="CG295" s="18">
        <f t="shared" si="833"/>
        <v>84482563</v>
      </c>
      <c r="CH295" s="18">
        <f t="shared" si="833"/>
        <v>2424997</v>
      </c>
      <c r="CI295" s="18">
        <f t="shared" si="833"/>
        <v>22585</v>
      </c>
      <c r="CJ295" s="18">
        <f t="shared" si="833"/>
        <v>855706</v>
      </c>
      <c r="CK295" s="18">
        <f t="shared" si="833"/>
        <v>73340874</v>
      </c>
      <c r="CL295" s="18">
        <f t="shared" si="833"/>
        <v>59644529</v>
      </c>
      <c r="CM295" s="18">
        <f t="shared" si="833"/>
        <v>13696345</v>
      </c>
      <c r="CN295" s="18">
        <f t="shared" si="833"/>
        <v>0</v>
      </c>
      <c r="CO295" s="18">
        <f t="shared" si="833"/>
        <v>2684498</v>
      </c>
      <c r="CP295" s="74"/>
      <c r="CQ295" s="74"/>
      <c r="CR295" s="74"/>
      <c r="CS295" s="18">
        <f t="shared" si="833"/>
        <v>0</v>
      </c>
      <c r="CT295" s="18">
        <f t="shared" si="833"/>
        <v>0</v>
      </c>
      <c r="CU295" s="18">
        <f t="shared" si="833"/>
        <v>0</v>
      </c>
      <c r="CV295" s="46">
        <f t="shared" si="833"/>
        <v>0</v>
      </c>
      <c r="CW295" s="52"/>
    </row>
    <row r="296" spans="1:101" s="52" customFormat="1" ht="15.6" x14ac:dyDescent="0.3">
      <c r="A296" s="105" t="s">
        <v>1</v>
      </c>
      <c r="B296" s="21" t="s">
        <v>315</v>
      </c>
      <c r="C296" s="22" t="s">
        <v>314</v>
      </c>
      <c r="D296" s="19">
        <f>SUM(E296+BZ296+CS296)</f>
        <v>167593521</v>
      </c>
      <c r="E296" s="19">
        <f>SUM(F296+BA296)</f>
        <v>3782298</v>
      </c>
      <c r="F296" s="19">
        <f>SUM(G296+H296+I296+P296+S296+T296+U296+AE296+AD296)</f>
        <v>3782298</v>
      </c>
      <c r="G296" s="19">
        <v>0</v>
      </c>
      <c r="H296" s="19">
        <v>0</v>
      </c>
      <c r="I296" s="19">
        <f t="shared" si="817"/>
        <v>0</v>
      </c>
      <c r="J296" s="19">
        <f>3111047-3111047</f>
        <v>0</v>
      </c>
      <c r="K296" s="19"/>
      <c r="L296" s="19">
        <v>0</v>
      </c>
      <c r="M296" s="19">
        <v>0</v>
      </c>
      <c r="N296" s="19"/>
      <c r="O296" s="23"/>
      <c r="P296" s="19">
        <f t="shared" si="818"/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f t="shared" ref="U296" si="834">SUM(V296:AC296)</f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f>SUM(AF296:AZ296)</f>
        <v>3782298</v>
      </c>
      <c r="AF296" s="19">
        <v>0</v>
      </c>
      <c r="AG296" s="19">
        <v>0</v>
      </c>
      <c r="AH296" s="51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v>0</v>
      </c>
      <c r="AV296" s="23">
        <v>0</v>
      </c>
      <c r="AW296" s="19">
        <v>0</v>
      </c>
      <c r="AX296" s="19">
        <v>0</v>
      </c>
      <c r="AY296" s="19">
        <v>0</v>
      </c>
      <c r="AZ296" s="19">
        <f>6100000-2317702</f>
        <v>3782298</v>
      </c>
      <c r="BA296" s="19">
        <f>SUM(BB296+BF296+BI296+BK296+BN296)</f>
        <v>0</v>
      </c>
      <c r="BB296" s="19">
        <f>SUM(BC296:BE296)</f>
        <v>0</v>
      </c>
      <c r="BC296" s="19">
        <v>0</v>
      </c>
      <c r="BD296" s="19">
        <v>0</v>
      </c>
      <c r="BE296" s="19">
        <v>0</v>
      </c>
      <c r="BF296" s="19">
        <f>SUM(BH296:BH296)</f>
        <v>0</v>
      </c>
      <c r="BG296" s="19">
        <v>0</v>
      </c>
      <c r="BH296" s="19">
        <v>0</v>
      </c>
      <c r="BI296" s="19">
        <v>0</v>
      </c>
      <c r="BJ296" s="19">
        <v>0</v>
      </c>
      <c r="BK296" s="19">
        <f t="shared" si="820"/>
        <v>0</v>
      </c>
      <c r="BL296" s="19">
        <v>0</v>
      </c>
      <c r="BM296" s="19">
        <v>0</v>
      </c>
      <c r="BN296" s="19">
        <f>SUM(BO296:BY296)</f>
        <v>0</v>
      </c>
      <c r="BO296" s="19">
        <v>0</v>
      </c>
      <c r="BP296" s="19">
        <v>0</v>
      </c>
      <c r="BQ296" s="19">
        <v>0</v>
      </c>
      <c r="BR296" s="19">
        <v>0</v>
      </c>
      <c r="BS296" s="19">
        <v>0</v>
      </c>
      <c r="BT296" s="19">
        <v>0</v>
      </c>
      <c r="BU296" s="19">
        <v>0</v>
      </c>
      <c r="BV296" s="23"/>
      <c r="BW296" s="19">
        <v>0</v>
      </c>
      <c r="BX296" s="19">
        <v>0</v>
      </c>
      <c r="BY296" s="19">
        <v>0</v>
      </c>
      <c r="BZ296" s="19">
        <f t="shared" si="821"/>
        <v>163811223</v>
      </c>
      <c r="CA296" s="19">
        <f>SUM(CB296+CE296+CK296)</f>
        <v>161126725</v>
      </c>
      <c r="CB296" s="19">
        <f t="shared" si="822"/>
        <v>0</v>
      </c>
      <c r="CC296" s="19"/>
      <c r="CD296" s="35"/>
      <c r="CE296" s="19">
        <f>SUM(CF296:CJ296)</f>
        <v>87785851</v>
      </c>
      <c r="CF296" s="23">
        <f>98859686-98859686</f>
        <v>0</v>
      </c>
      <c r="CG296" s="23">
        <f>61000000+23482563</f>
        <v>84482563</v>
      </c>
      <c r="CH296" s="24">
        <f>2000000+424997</f>
        <v>2424997</v>
      </c>
      <c r="CI296" s="24">
        <f>0+22585</f>
        <v>22585</v>
      </c>
      <c r="CJ296" s="24">
        <f>0+855706</f>
        <v>855706</v>
      </c>
      <c r="CK296" s="19">
        <f>SUM(CL296:CN296)</f>
        <v>73340874</v>
      </c>
      <c r="CL296" s="24">
        <f>68500000-8855471</f>
        <v>59644529</v>
      </c>
      <c r="CM296" s="19">
        <f>13540314+156031</f>
        <v>13696345</v>
      </c>
      <c r="CN296" s="19"/>
      <c r="CO296" s="19">
        <f>0+2684498</f>
        <v>2684498</v>
      </c>
      <c r="CP296" s="75"/>
      <c r="CQ296" s="75"/>
      <c r="CR296" s="75"/>
      <c r="CS296" s="19">
        <f t="shared" si="823"/>
        <v>0</v>
      </c>
      <c r="CT296" s="19">
        <f t="shared" si="824"/>
        <v>0</v>
      </c>
      <c r="CU296" s="19">
        <v>0</v>
      </c>
      <c r="CV296" s="20">
        <v>0</v>
      </c>
      <c r="CW296" s="57"/>
    </row>
    <row r="297" spans="1:101" s="57" customFormat="1" ht="15.6" x14ac:dyDescent="0.3">
      <c r="A297" s="104" t="s">
        <v>316</v>
      </c>
      <c r="B297" s="16" t="s">
        <v>1</v>
      </c>
      <c r="C297" s="17" t="s">
        <v>317</v>
      </c>
      <c r="D297" s="18">
        <f t="shared" ref="D297:BQ297" si="835">SUM(D298)</f>
        <v>18411164</v>
      </c>
      <c r="E297" s="18">
        <f t="shared" si="835"/>
        <v>18411164</v>
      </c>
      <c r="F297" s="18">
        <f t="shared" si="835"/>
        <v>18411164</v>
      </c>
      <c r="G297" s="18">
        <f t="shared" si="835"/>
        <v>0</v>
      </c>
      <c r="H297" s="18">
        <f t="shared" si="835"/>
        <v>0</v>
      </c>
      <c r="I297" s="18">
        <f t="shared" si="835"/>
        <v>0</v>
      </c>
      <c r="J297" s="18">
        <f t="shared" si="835"/>
        <v>0</v>
      </c>
      <c r="K297" s="18">
        <f t="shared" si="835"/>
        <v>0</v>
      </c>
      <c r="L297" s="18">
        <f t="shared" si="835"/>
        <v>0</v>
      </c>
      <c r="M297" s="18">
        <f t="shared" si="835"/>
        <v>0</v>
      </c>
      <c r="N297" s="18">
        <f t="shared" si="835"/>
        <v>0</v>
      </c>
      <c r="O297" s="18">
        <f t="shared" si="835"/>
        <v>0</v>
      </c>
      <c r="P297" s="18">
        <f t="shared" si="835"/>
        <v>0</v>
      </c>
      <c r="Q297" s="18">
        <f t="shared" si="835"/>
        <v>0</v>
      </c>
      <c r="R297" s="18">
        <f t="shared" si="835"/>
        <v>0</v>
      </c>
      <c r="S297" s="18">
        <f t="shared" si="835"/>
        <v>0</v>
      </c>
      <c r="T297" s="18">
        <f t="shared" si="835"/>
        <v>0</v>
      </c>
      <c r="U297" s="18">
        <f t="shared" si="835"/>
        <v>0</v>
      </c>
      <c r="V297" s="18">
        <f t="shared" si="835"/>
        <v>0</v>
      </c>
      <c r="W297" s="18">
        <f t="shared" si="835"/>
        <v>0</v>
      </c>
      <c r="X297" s="18">
        <f t="shared" si="835"/>
        <v>0</v>
      </c>
      <c r="Y297" s="18">
        <f t="shared" si="835"/>
        <v>0</v>
      </c>
      <c r="Z297" s="18">
        <f t="shared" si="835"/>
        <v>0</v>
      </c>
      <c r="AA297" s="18">
        <f t="shared" si="835"/>
        <v>0</v>
      </c>
      <c r="AB297" s="18">
        <f t="shared" si="835"/>
        <v>0</v>
      </c>
      <c r="AC297" s="18">
        <f t="shared" si="835"/>
        <v>0</v>
      </c>
      <c r="AD297" s="18">
        <f t="shared" si="835"/>
        <v>0</v>
      </c>
      <c r="AE297" s="18">
        <f t="shared" si="835"/>
        <v>18411164</v>
      </c>
      <c r="AF297" s="18">
        <f t="shared" si="835"/>
        <v>0</v>
      </c>
      <c r="AG297" s="18">
        <f t="shared" si="835"/>
        <v>0</v>
      </c>
      <c r="AH297" s="18">
        <f t="shared" si="835"/>
        <v>0</v>
      </c>
      <c r="AI297" s="18">
        <f t="shared" si="835"/>
        <v>0</v>
      </c>
      <c r="AJ297" s="18">
        <f t="shared" si="835"/>
        <v>0</v>
      </c>
      <c r="AK297" s="18">
        <f t="shared" si="835"/>
        <v>0</v>
      </c>
      <c r="AL297" s="18">
        <f t="shared" si="835"/>
        <v>0</v>
      </c>
      <c r="AM297" s="18">
        <f t="shared" si="835"/>
        <v>0</v>
      </c>
      <c r="AN297" s="18">
        <f t="shared" si="835"/>
        <v>0</v>
      </c>
      <c r="AO297" s="18">
        <f t="shared" si="835"/>
        <v>0</v>
      </c>
      <c r="AP297" s="18">
        <f t="shared" si="835"/>
        <v>0</v>
      </c>
      <c r="AQ297" s="18">
        <f t="shared" si="835"/>
        <v>0</v>
      </c>
      <c r="AR297" s="18">
        <f t="shared" si="835"/>
        <v>0</v>
      </c>
      <c r="AS297" s="18">
        <f t="shared" si="835"/>
        <v>0</v>
      </c>
      <c r="AT297" s="18">
        <f t="shared" si="835"/>
        <v>0</v>
      </c>
      <c r="AU297" s="18">
        <f t="shared" si="835"/>
        <v>0</v>
      </c>
      <c r="AV297" s="18">
        <f t="shared" si="835"/>
        <v>0</v>
      </c>
      <c r="AW297" s="18">
        <f t="shared" si="835"/>
        <v>0</v>
      </c>
      <c r="AX297" s="18">
        <f t="shared" si="835"/>
        <v>0</v>
      </c>
      <c r="AY297" s="18"/>
      <c r="AZ297" s="18">
        <f t="shared" si="835"/>
        <v>18411164</v>
      </c>
      <c r="BA297" s="18">
        <f t="shared" si="835"/>
        <v>0</v>
      </c>
      <c r="BB297" s="18">
        <f t="shared" si="835"/>
        <v>0</v>
      </c>
      <c r="BC297" s="18">
        <f t="shared" si="835"/>
        <v>0</v>
      </c>
      <c r="BD297" s="18">
        <f t="shared" si="835"/>
        <v>0</v>
      </c>
      <c r="BE297" s="18">
        <f t="shared" si="835"/>
        <v>0</v>
      </c>
      <c r="BF297" s="18">
        <f t="shared" si="835"/>
        <v>0</v>
      </c>
      <c r="BG297" s="18">
        <f t="shared" si="835"/>
        <v>0</v>
      </c>
      <c r="BH297" s="18">
        <f t="shared" si="835"/>
        <v>0</v>
      </c>
      <c r="BI297" s="18">
        <f t="shared" si="835"/>
        <v>0</v>
      </c>
      <c r="BJ297" s="18">
        <f t="shared" si="835"/>
        <v>0</v>
      </c>
      <c r="BK297" s="18">
        <f t="shared" si="835"/>
        <v>0</v>
      </c>
      <c r="BL297" s="18">
        <f t="shared" si="835"/>
        <v>0</v>
      </c>
      <c r="BM297" s="18">
        <f t="shared" si="835"/>
        <v>0</v>
      </c>
      <c r="BN297" s="18">
        <f t="shared" si="835"/>
        <v>0</v>
      </c>
      <c r="BO297" s="18">
        <f t="shared" si="835"/>
        <v>0</v>
      </c>
      <c r="BP297" s="18">
        <f t="shared" si="835"/>
        <v>0</v>
      </c>
      <c r="BQ297" s="18">
        <f t="shared" si="835"/>
        <v>0</v>
      </c>
      <c r="BR297" s="18">
        <f t="shared" ref="BR297:CV297" si="836">SUM(BR298)</f>
        <v>0</v>
      </c>
      <c r="BS297" s="18">
        <f t="shared" si="836"/>
        <v>0</v>
      </c>
      <c r="BT297" s="18">
        <f t="shared" si="836"/>
        <v>0</v>
      </c>
      <c r="BU297" s="18">
        <f t="shared" si="836"/>
        <v>0</v>
      </c>
      <c r="BV297" s="18">
        <f t="shared" si="836"/>
        <v>0</v>
      </c>
      <c r="BW297" s="18">
        <f t="shared" si="836"/>
        <v>0</v>
      </c>
      <c r="BX297" s="18">
        <f t="shared" si="836"/>
        <v>0</v>
      </c>
      <c r="BY297" s="18">
        <f t="shared" si="836"/>
        <v>0</v>
      </c>
      <c r="BZ297" s="18">
        <f t="shared" si="821"/>
        <v>0</v>
      </c>
      <c r="CA297" s="18">
        <f t="shared" si="836"/>
        <v>0</v>
      </c>
      <c r="CB297" s="18">
        <f t="shared" si="836"/>
        <v>0</v>
      </c>
      <c r="CC297" s="18">
        <f t="shared" si="836"/>
        <v>0</v>
      </c>
      <c r="CD297" s="18">
        <f t="shared" si="836"/>
        <v>0</v>
      </c>
      <c r="CE297" s="18">
        <f t="shared" si="836"/>
        <v>0</v>
      </c>
      <c r="CF297" s="18">
        <f t="shared" si="836"/>
        <v>0</v>
      </c>
      <c r="CG297" s="18">
        <f t="shared" si="836"/>
        <v>0</v>
      </c>
      <c r="CH297" s="18">
        <f t="shared" si="836"/>
        <v>0</v>
      </c>
      <c r="CI297" s="18">
        <f t="shared" si="836"/>
        <v>0</v>
      </c>
      <c r="CJ297" s="18">
        <f t="shared" si="836"/>
        <v>0</v>
      </c>
      <c r="CK297" s="18">
        <f t="shared" si="836"/>
        <v>0</v>
      </c>
      <c r="CL297" s="18">
        <f t="shared" si="836"/>
        <v>0</v>
      </c>
      <c r="CM297" s="18">
        <f t="shared" si="836"/>
        <v>0</v>
      </c>
      <c r="CN297" s="18"/>
      <c r="CO297" s="18">
        <f t="shared" si="836"/>
        <v>0</v>
      </c>
      <c r="CP297" s="74"/>
      <c r="CQ297" s="74"/>
      <c r="CR297" s="74"/>
      <c r="CS297" s="18">
        <f t="shared" si="836"/>
        <v>0</v>
      </c>
      <c r="CT297" s="18">
        <f t="shared" si="836"/>
        <v>0</v>
      </c>
      <c r="CU297" s="18">
        <f t="shared" si="836"/>
        <v>0</v>
      </c>
      <c r="CV297" s="46">
        <f t="shared" si="836"/>
        <v>0</v>
      </c>
      <c r="CW297" s="52"/>
    </row>
    <row r="298" spans="1:101" s="52" customFormat="1" ht="15.6" x14ac:dyDescent="0.3">
      <c r="A298" s="105" t="s">
        <v>1</v>
      </c>
      <c r="B298" s="21" t="s">
        <v>271</v>
      </c>
      <c r="C298" s="22" t="s">
        <v>317</v>
      </c>
      <c r="D298" s="19">
        <f>SUM(E298+BZ298+CS298)</f>
        <v>18411164</v>
      </c>
      <c r="E298" s="19">
        <f>SUM(F298+BA298)</f>
        <v>18411164</v>
      </c>
      <c r="F298" s="19">
        <f>SUM(G298+H298+I298+P298+S298+T298+U298+AE298+AD298)</f>
        <v>18411164</v>
      </c>
      <c r="G298" s="19">
        <v>0</v>
      </c>
      <c r="H298" s="19">
        <v>0</v>
      </c>
      <c r="I298" s="19">
        <f t="shared" si="817"/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f t="shared" si="818"/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f t="shared" ref="U298" si="837">SUM(V298:AC298)</f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f>SUM(AF298:AZ298)</f>
        <v>18411164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v>0</v>
      </c>
      <c r="AV298" s="19">
        <v>0</v>
      </c>
      <c r="AW298" s="19">
        <v>0</v>
      </c>
      <c r="AX298" s="19">
        <v>0</v>
      </c>
      <c r="AY298" s="19">
        <v>0</v>
      </c>
      <c r="AZ298" s="23">
        <f>23433526-5022362</f>
        <v>18411164</v>
      </c>
      <c r="BA298" s="19">
        <f>SUM(BB298+BF298+BI298+BK298+BN298)</f>
        <v>0</v>
      </c>
      <c r="BB298" s="19">
        <f>SUM(BC298:BE298)</f>
        <v>0</v>
      </c>
      <c r="BC298" s="19">
        <v>0</v>
      </c>
      <c r="BD298" s="19">
        <v>0</v>
      </c>
      <c r="BE298" s="19">
        <v>0</v>
      </c>
      <c r="BF298" s="19">
        <f>SUM(BH298:BH298)</f>
        <v>0</v>
      </c>
      <c r="BG298" s="19">
        <v>0</v>
      </c>
      <c r="BH298" s="19">
        <v>0</v>
      </c>
      <c r="BI298" s="19">
        <v>0</v>
      </c>
      <c r="BJ298" s="19">
        <v>0</v>
      </c>
      <c r="BK298" s="19">
        <f t="shared" si="820"/>
        <v>0</v>
      </c>
      <c r="BL298" s="19">
        <v>0</v>
      </c>
      <c r="BM298" s="19">
        <v>0</v>
      </c>
      <c r="BN298" s="19">
        <f>SUM(BO298:BY298)</f>
        <v>0</v>
      </c>
      <c r="BO298" s="19">
        <v>0</v>
      </c>
      <c r="BP298" s="19">
        <v>0</v>
      </c>
      <c r="BQ298" s="19">
        <v>0</v>
      </c>
      <c r="BR298" s="19">
        <v>0</v>
      </c>
      <c r="BS298" s="19">
        <v>0</v>
      </c>
      <c r="BT298" s="19">
        <v>0</v>
      </c>
      <c r="BU298" s="19">
        <v>0</v>
      </c>
      <c r="BV298" s="19">
        <v>0</v>
      </c>
      <c r="BW298" s="19">
        <v>0</v>
      </c>
      <c r="BX298" s="19">
        <v>0</v>
      </c>
      <c r="BY298" s="19">
        <v>0</v>
      </c>
      <c r="BZ298" s="19">
        <f t="shared" si="821"/>
        <v>0</v>
      </c>
      <c r="CA298" s="19">
        <f>SUM(CB298+CE298+CK298)</f>
        <v>0</v>
      </c>
      <c r="CB298" s="19">
        <f t="shared" si="822"/>
        <v>0</v>
      </c>
      <c r="CC298" s="19">
        <v>0</v>
      </c>
      <c r="CD298" s="19">
        <v>0</v>
      </c>
      <c r="CE298" s="19">
        <f>SUM(CF298:CJ298)</f>
        <v>0</v>
      </c>
      <c r="CF298" s="19">
        <v>0</v>
      </c>
      <c r="CG298" s="19">
        <v>0</v>
      </c>
      <c r="CH298" s="19">
        <v>0</v>
      </c>
      <c r="CI298" s="19">
        <v>0</v>
      </c>
      <c r="CJ298" s="19">
        <v>0</v>
      </c>
      <c r="CK298" s="19">
        <f>SUM(CL298:CN298)</f>
        <v>0</v>
      </c>
      <c r="CL298" s="19">
        <v>0</v>
      </c>
      <c r="CM298" s="19">
        <v>0</v>
      </c>
      <c r="CN298" s="19"/>
      <c r="CO298" s="19">
        <v>0</v>
      </c>
      <c r="CP298" s="75"/>
      <c r="CQ298" s="75"/>
      <c r="CR298" s="75"/>
      <c r="CS298" s="19">
        <f t="shared" si="823"/>
        <v>0</v>
      </c>
      <c r="CT298" s="19">
        <f t="shared" si="824"/>
        <v>0</v>
      </c>
      <c r="CU298" s="19">
        <v>0</v>
      </c>
      <c r="CV298" s="20">
        <v>0</v>
      </c>
      <c r="CW298" s="57"/>
    </row>
    <row r="299" spans="1:101" s="58" customFormat="1" ht="15.6" x14ac:dyDescent="0.3">
      <c r="A299" s="104" t="s">
        <v>318</v>
      </c>
      <c r="B299" s="16" t="s">
        <v>1</v>
      </c>
      <c r="C299" s="17" t="s">
        <v>319</v>
      </c>
      <c r="D299" s="18">
        <f t="shared" ref="D299:AK299" si="838">SUM(D300)</f>
        <v>5831291</v>
      </c>
      <c r="E299" s="18">
        <f t="shared" si="838"/>
        <v>5831291</v>
      </c>
      <c r="F299" s="18">
        <f t="shared" si="838"/>
        <v>0</v>
      </c>
      <c r="G299" s="18">
        <f t="shared" si="838"/>
        <v>0</v>
      </c>
      <c r="H299" s="18">
        <f t="shared" si="838"/>
        <v>0</v>
      </c>
      <c r="I299" s="18">
        <f t="shared" si="838"/>
        <v>0</v>
      </c>
      <c r="J299" s="18">
        <f t="shared" si="838"/>
        <v>0</v>
      </c>
      <c r="K299" s="18">
        <f t="shared" si="838"/>
        <v>0</v>
      </c>
      <c r="L299" s="18">
        <f t="shared" si="838"/>
        <v>0</v>
      </c>
      <c r="M299" s="18">
        <f t="shared" si="838"/>
        <v>0</v>
      </c>
      <c r="N299" s="18">
        <f t="shared" si="838"/>
        <v>0</v>
      </c>
      <c r="O299" s="18">
        <f t="shared" si="838"/>
        <v>0</v>
      </c>
      <c r="P299" s="18">
        <f t="shared" si="838"/>
        <v>0</v>
      </c>
      <c r="Q299" s="18">
        <f t="shared" si="838"/>
        <v>0</v>
      </c>
      <c r="R299" s="18">
        <f t="shared" si="838"/>
        <v>0</v>
      </c>
      <c r="S299" s="18">
        <f t="shared" si="838"/>
        <v>0</v>
      </c>
      <c r="T299" s="18">
        <f t="shared" si="838"/>
        <v>0</v>
      </c>
      <c r="U299" s="18">
        <f t="shared" si="838"/>
        <v>0</v>
      </c>
      <c r="V299" s="18">
        <f t="shared" si="838"/>
        <v>0</v>
      </c>
      <c r="W299" s="18">
        <f t="shared" si="838"/>
        <v>0</v>
      </c>
      <c r="X299" s="18">
        <f t="shared" si="838"/>
        <v>0</v>
      </c>
      <c r="Y299" s="18">
        <f t="shared" si="838"/>
        <v>0</v>
      </c>
      <c r="Z299" s="18">
        <f t="shared" si="838"/>
        <v>0</v>
      </c>
      <c r="AA299" s="18">
        <f t="shared" si="838"/>
        <v>0</v>
      </c>
      <c r="AB299" s="18">
        <f t="shared" si="838"/>
        <v>0</v>
      </c>
      <c r="AC299" s="18">
        <f t="shared" si="838"/>
        <v>0</v>
      </c>
      <c r="AD299" s="18">
        <f t="shared" si="838"/>
        <v>0</v>
      </c>
      <c r="AE299" s="18">
        <f t="shared" si="838"/>
        <v>0</v>
      </c>
      <c r="AF299" s="18">
        <f t="shared" si="838"/>
        <v>0</v>
      </c>
      <c r="AG299" s="18">
        <f t="shared" si="838"/>
        <v>0</v>
      </c>
      <c r="AH299" s="18">
        <f t="shared" si="838"/>
        <v>0</v>
      </c>
      <c r="AI299" s="18">
        <f t="shared" si="838"/>
        <v>0</v>
      </c>
      <c r="AJ299" s="18">
        <f t="shared" si="838"/>
        <v>0</v>
      </c>
      <c r="AK299" s="18">
        <f t="shared" si="838"/>
        <v>0</v>
      </c>
      <c r="AL299" s="18">
        <f t="shared" ref="AL299:CV299" si="839">SUM(AL300)</f>
        <v>0</v>
      </c>
      <c r="AM299" s="18">
        <f t="shared" si="839"/>
        <v>0</v>
      </c>
      <c r="AN299" s="18">
        <f t="shared" si="839"/>
        <v>0</v>
      </c>
      <c r="AO299" s="18">
        <f t="shared" si="839"/>
        <v>0</v>
      </c>
      <c r="AP299" s="18">
        <f t="shared" si="839"/>
        <v>0</v>
      </c>
      <c r="AQ299" s="18">
        <f t="shared" si="839"/>
        <v>0</v>
      </c>
      <c r="AR299" s="18">
        <f t="shared" si="839"/>
        <v>0</v>
      </c>
      <c r="AS299" s="18">
        <f t="shared" si="839"/>
        <v>0</v>
      </c>
      <c r="AT299" s="18">
        <f t="shared" si="839"/>
        <v>0</v>
      </c>
      <c r="AU299" s="18">
        <f t="shared" si="839"/>
        <v>0</v>
      </c>
      <c r="AV299" s="18">
        <f t="shared" si="839"/>
        <v>0</v>
      </c>
      <c r="AW299" s="18">
        <f t="shared" si="839"/>
        <v>0</v>
      </c>
      <c r="AX299" s="18">
        <f t="shared" si="839"/>
        <v>0</v>
      </c>
      <c r="AY299" s="18"/>
      <c r="AZ299" s="18">
        <f>SUM(AZ300)</f>
        <v>0</v>
      </c>
      <c r="BA299" s="18">
        <f t="shared" si="839"/>
        <v>5831291</v>
      </c>
      <c r="BB299" s="18">
        <f t="shared" si="839"/>
        <v>0</v>
      </c>
      <c r="BC299" s="18">
        <f t="shared" si="839"/>
        <v>0</v>
      </c>
      <c r="BD299" s="18">
        <f t="shared" si="839"/>
        <v>0</v>
      </c>
      <c r="BE299" s="18">
        <f t="shared" si="839"/>
        <v>0</v>
      </c>
      <c r="BF299" s="18">
        <f t="shared" si="839"/>
        <v>0</v>
      </c>
      <c r="BG299" s="18">
        <f t="shared" si="839"/>
        <v>0</v>
      </c>
      <c r="BH299" s="18">
        <f t="shared" si="839"/>
        <v>0</v>
      </c>
      <c r="BI299" s="18">
        <f t="shared" si="839"/>
        <v>0</v>
      </c>
      <c r="BJ299" s="18">
        <f t="shared" si="839"/>
        <v>0</v>
      </c>
      <c r="BK299" s="18">
        <f t="shared" si="839"/>
        <v>0</v>
      </c>
      <c r="BL299" s="18">
        <f t="shared" si="839"/>
        <v>0</v>
      </c>
      <c r="BM299" s="18">
        <f t="shared" si="839"/>
        <v>0</v>
      </c>
      <c r="BN299" s="18">
        <f t="shared" si="839"/>
        <v>5831291</v>
      </c>
      <c r="BO299" s="18">
        <f t="shared" si="839"/>
        <v>0</v>
      </c>
      <c r="BP299" s="18">
        <f t="shared" si="839"/>
        <v>0</v>
      </c>
      <c r="BQ299" s="18">
        <f t="shared" si="839"/>
        <v>0</v>
      </c>
      <c r="BR299" s="18">
        <f t="shared" si="839"/>
        <v>0</v>
      </c>
      <c r="BS299" s="18">
        <f t="shared" si="839"/>
        <v>0</v>
      </c>
      <c r="BT299" s="18">
        <f t="shared" si="839"/>
        <v>0</v>
      </c>
      <c r="BU299" s="18">
        <f t="shared" si="839"/>
        <v>0</v>
      </c>
      <c r="BV299" s="18">
        <f t="shared" si="839"/>
        <v>0</v>
      </c>
      <c r="BW299" s="18">
        <f t="shared" si="839"/>
        <v>0</v>
      </c>
      <c r="BX299" s="18">
        <f t="shared" si="839"/>
        <v>0</v>
      </c>
      <c r="BY299" s="18">
        <f t="shared" si="839"/>
        <v>5831291</v>
      </c>
      <c r="BZ299" s="18">
        <f t="shared" si="821"/>
        <v>0</v>
      </c>
      <c r="CA299" s="18">
        <f t="shared" si="839"/>
        <v>0</v>
      </c>
      <c r="CB299" s="18">
        <f t="shared" si="839"/>
        <v>0</v>
      </c>
      <c r="CC299" s="18">
        <f t="shared" si="839"/>
        <v>0</v>
      </c>
      <c r="CD299" s="18">
        <f t="shared" si="839"/>
        <v>0</v>
      </c>
      <c r="CE299" s="18">
        <f t="shared" si="839"/>
        <v>0</v>
      </c>
      <c r="CF299" s="18">
        <f t="shared" si="839"/>
        <v>0</v>
      </c>
      <c r="CG299" s="18">
        <f t="shared" si="839"/>
        <v>0</v>
      </c>
      <c r="CH299" s="18">
        <f t="shared" si="839"/>
        <v>0</v>
      </c>
      <c r="CI299" s="18">
        <f t="shared" si="839"/>
        <v>0</v>
      </c>
      <c r="CJ299" s="18">
        <f t="shared" si="839"/>
        <v>0</v>
      </c>
      <c r="CK299" s="18">
        <f t="shared" si="839"/>
        <v>0</v>
      </c>
      <c r="CL299" s="18">
        <f t="shared" si="839"/>
        <v>0</v>
      </c>
      <c r="CM299" s="18">
        <f t="shared" si="839"/>
        <v>0</v>
      </c>
      <c r="CN299" s="18"/>
      <c r="CO299" s="18">
        <f t="shared" si="839"/>
        <v>0</v>
      </c>
      <c r="CP299" s="74"/>
      <c r="CQ299" s="74"/>
      <c r="CR299" s="74"/>
      <c r="CS299" s="18">
        <f t="shared" si="839"/>
        <v>0</v>
      </c>
      <c r="CT299" s="18">
        <f t="shared" si="839"/>
        <v>0</v>
      </c>
      <c r="CU299" s="18">
        <f t="shared" si="839"/>
        <v>0</v>
      </c>
      <c r="CV299" s="46">
        <f t="shared" si="839"/>
        <v>0</v>
      </c>
      <c r="CW299" s="52"/>
    </row>
    <row r="300" spans="1:101" ht="15.6" x14ac:dyDescent="0.3">
      <c r="A300" s="105" t="s">
        <v>1</v>
      </c>
      <c r="B300" s="21" t="s">
        <v>271</v>
      </c>
      <c r="C300" s="22" t="s">
        <v>319</v>
      </c>
      <c r="D300" s="19">
        <f>SUM(E300+BZ300+CS300)</f>
        <v>5831291</v>
      </c>
      <c r="E300" s="19">
        <f>SUM(F300+BA300)</f>
        <v>5831291</v>
      </c>
      <c r="F300" s="19">
        <f>SUM(G300+H300+I300+P300+S300+T300+U300+AE300+AD300)</f>
        <v>0</v>
      </c>
      <c r="G300" s="19">
        <v>0</v>
      </c>
      <c r="H300" s="19">
        <v>0</v>
      </c>
      <c r="I300" s="19">
        <f t="shared" si="817"/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f t="shared" si="818"/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f t="shared" ref="U300" si="840">SUM(V300:AC300)</f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f>SUM(AF300:AZ300)</f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v>0</v>
      </c>
      <c r="AV300" s="19">
        <v>0</v>
      </c>
      <c r="AW300" s="19">
        <v>0</v>
      </c>
      <c r="AX300" s="19">
        <v>0</v>
      </c>
      <c r="AY300" s="19"/>
      <c r="AZ300" s="19">
        <v>0</v>
      </c>
      <c r="BA300" s="19">
        <f>SUM(BB300+BF300+BI300+BK300+BN300)</f>
        <v>5831291</v>
      </c>
      <c r="BB300" s="19">
        <f>SUM(BC300:BE300)</f>
        <v>0</v>
      </c>
      <c r="BC300" s="19">
        <v>0</v>
      </c>
      <c r="BD300" s="19">
        <v>0</v>
      </c>
      <c r="BE300" s="19">
        <v>0</v>
      </c>
      <c r="BF300" s="19">
        <f>SUM(BH300:BH300)</f>
        <v>0</v>
      </c>
      <c r="BG300" s="19">
        <v>0</v>
      </c>
      <c r="BH300" s="19">
        <v>0</v>
      </c>
      <c r="BI300" s="19">
        <v>0</v>
      </c>
      <c r="BJ300" s="19">
        <v>0</v>
      </c>
      <c r="BK300" s="19">
        <f t="shared" si="820"/>
        <v>0</v>
      </c>
      <c r="BL300" s="19">
        <v>0</v>
      </c>
      <c r="BM300" s="19">
        <v>0</v>
      </c>
      <c r="BN300" s="19">
        <f>SUM(BO300:BY300)</f>
        <v>5831291</v>
      </c>
      <c r="BO300" s="19">
        <v>0</v>
      </c>
      <c r="BP300" s="19">
        <v>0</v>
      </c>
      <c r="BQ300" s="19">
        <v>0</v>
      </c>
      <c r="BR300" s="19">
        <v>0</v>
      </c>
      <c r="BS300" s="19">
        <v>0</v>
      </c>
      <c r="BT300" s="19">
        <v>0</v>
      </c>
      <c r="BU300" s="19">
        <v>0</v>
      </c>
      <c r="BV300" s="19">
        <v>0</v>
      </c>
      <c r="BW300" s="19">
        <v>0</v>
      </c>
      <c r="BX300" s="19">
        <v>0</v>
      </c>
      <c r="BY300" s="19">
        <f>7937468-2106177</f>
        <v>5831291</v>
      </c>
      <c r="BZ300" s="19">
        <f t="shared" si="821"/>
        <v>0</v>
      </c>
      <c r="CA300" s="19">
        <f>SUM(CB300+CE300+CK300)</f>
        <v>0</v>
      </c>
      <c r="CB300" s="19">
        <f t="shared" si="822"/>
        <v>0</v>
      </c>
      <c r="CC300" s="19">
        <v>0</v>
      </c>
      <c r="CD300" s="19">
        <v>0</v>
      </c>
      <c r="CE300" s="19">
        <f>SUM(CF300:CJ300)</f>
        <v>0</v>
      </c>
      <c r="CF300" s="19">
        <v>0</v>
      </c>
      <c r="CG300" s="19">
        <v>0</v>
      </c>
      <c r="CH300" s="19">
        <v>0</v>
      </c>
      <c r="CI300" s="19">
        <v>0</v>
      </c>
      <c r="CJ300" s="19">
        <v>0</v>
      </c>
      <c r="CK300" s="19">
        <f>SUM(CL300:CN300)</f>
        <v>0</v>
      </c>
      <c r="CL300" s="19">
        <v>0</v>
      </c>
      <c r="CM300" s="19">
        <v>0</v>
      </c>
      <c r="CN300" s="19"/>
      <c r="CO300" s="19">
        <v>0</v>
      </c>
      <c r="CP300" s="75"/>
      <c r="CQ300" s="75"/>
      <c r="CR300" s="75"/>
      <c r="CS300" s="19">
        <f t="shared" si="823"/>
        <v>0</v>
      </c>
      <c r="CT300" s="19">
        <f t="shared" si="824"/>
        <v>0</v>
      </c>
      <c r="CU300" s="19">
        <v>0</v>
      </c>
      <c r="CV300" s="20">
        <v>0</v>
      </c>
      <c r="CW300" s="57"/>
    </row>
    <row r="301" spans="1:101" s="58" customFormat="1" ht="15.6" x14ac:dyDescent="0.3">
      <c r="A301" s="104" t="s">
        <v>320</v>
      </c>
      <c r="B301" s="16" t="s">
        <v>1</v>
      </c>
      <c r="C301" s="30" t="s">
        <v>321</v>
      </c>
      <c r="D301" s="18">
        <f t="shared" ref="D301:AI301" si="841">SUM(D302)</f>
        <v>11926473</v>
      </c>
      <c r="E301" s="18">
        <f t="shared" si="841"/>
        <v>11926473</v>
      </c>
      <c r="F301" s="18">
        <f t="shared" si="841"/>
        <v>11926473</v>
      </c>
      <c r="G301" s="18">
        <f t="shared" si="841"/>
        <v>0</v>
      </c>
      <c r="H301" s="18">
        <f t="shared" si="841"/>
        <v>0</v>
      </c>
      <c r="I301" s="18">
        <f t="shared" si="841"/>
        <v>0</v>
      </c>
      <c r="J301" s="18">
        <f t="shared" si="841"/>
        <v>0</v>
      </c>
      <c r="K301" s="18">
        <f t="shared" si="841"/>
        <v>0</v>
      </c>
      <c r="L301" s="18">
        <f t="shared" si="841"/>
        <v>0</v>
      </c>
      <c r="M301" s="18">
        <f t="shared" si="841"/>
        <v>0</v>
      </c>
      <c r="N301" s="18">
        <f t="shared" si="841"/>
        <v>0</v>
      </c>
      <c r="O301" s="18">
        <f t="shared" si="841"/>
        <v>0</v>
      </c>
      <c r="P301" s="18">
        <f t="shared" si="841"/>
        <v>0</v>
      </c>
      <c r="Q301" s="18">
        <f t="shared" si="841"/>
        <v>0</v>
      </c>
      <c r="R301" s="18">
        <f t="shared" si="841"/>
        <v>0</v>
      </c>
      <c r="S301" s="18">
        <f t="shared" si="841"/>
        <v>0</v>
      </c>
      <c r="T301" s="18">
        <f t="shared" si="841"/>
        <v>0</v>
      </c>
      <c r="U301" s="18">
        <f t="shared" si="841"/>
        <v>0</v>
      </c>
      <c r="V301" s="18">
        <f t="shared" si="841"/>
        <v>0</v>
      </c>
      <c r="W301" s="18">
        <f t="shared" si="841"/>
        <v>0</v>
      </c>
      <c r="X301" s="18">
        <f t="shared" si="841"/>
        <v>0</v>
      </c>
      <c r="Y301" s="18">
        <f t="shared" si="841"/>
        <v>0</v>
      </c>
      <c r="Z301" s="18">
        <f t="shared" si="841"/>
        <v>0</v>
      </c>
      <c r="AA301" s="18">
        <f t="shared" si="841"/>
        <v>0</v>
      </c>
      <c r="AB301" s="18">
        <f t="shared" si="841"/>
        <v>0</v>
      </c>
      <c r="AC301" s="18">
        <f t="shared" si="841"/>
        <v>0</v>
      </c>
      <c r="AD301" s="18">
        <f t="shared" si="841"/>
        <v>0</v>
      </c>
      <c r="AE301" s="18">
        <f t="shared" si="841"/>
        <v>11926473</v>
      </c>
      <c r="AF301" s="18">
        <f t="shared" si="841"/>
        <v>0</v>
      </c>
      <c r="AG301" s="18">
        <f t="shared" si="841"/>
        <v>0</v>
      </c>
      <c r="AH301" s="18">
        <f t="shared" si="841"/>
        <v>0</v>
      </c>
      <c r="AI301" s="18">
        <f t="shared" si="841"/>
        <v>0</v>
      </c>
      <c r="AJ301" s="18">
        <f t="shared" ref="AJ301:CT301" si="842">SUM(AJ302)</f>
        <v>0</v>
      </c>
      <c r="AK301" s="18">
        <f t="shared" si="842"/>
        <v>0</v>
      </c>
      <c r="AL301" s="18">
        <f t="shared" si="842"/>
        <v>0</v>
      </c>
      <c r="AM301" s="18">
        <f t="shared" si="842"/>
        <v>0</v>
      </c>
      <c r="AN301" s="18">
        <f t="shared" si="842"/>
        <v>0</v>
      </c>
      <c r="AO301" s="18">
        <f t="shared" si="842"/>
        <v>0</v>
      </c>
      <c r="AP301" s="18">
        <f t="shared" si="842"/>
        <v>0</v>
      </c>
      <c r="AQ301" s="18">
        <f t="shared" si="842"/>
        <v>0</v>
      </c>
      <c r="AR301" s="18">
        <f t="shared" si="842"/>
        <v>0</v>
      </c>
      <c r="AS301" s="18">
        <f t="shared" si="842"/>
        <v>0</v>
      </c>
      <c r="AT301" s="18">
        <f t="shared" si="842"/>
        <v>0</v>
      </c>
      <c r="AU301" s="18">
        <f t="shared" si="842"/>
        <v>0</v>
      </c>
      <c r="AV301" s="18">
        <f t="shared" si="842"/>
        <v>0</v>
      </c>
      <c r="AW301" s="18">
        <f t="shared" si="842"/>
        <v>0</v>
      </c>
      <c r="AX301" s="18">
        <f t="shared" si="842"/>
        <v>0</v>
      </c>
      <c r="AY301" s="18"/>
      <c r="AZ301" s="18">
        <f t="shared" si="842"/>
        <v>11926473</v>
      </c>
      <c r="BA301" s="18">
        <f t="shared" si="842"/>
        <v>0</v>
      </c>
      <c r="BB301" s="18">
        <f t="shared" si="842"/>
        <v>0</v>
      </c>
      <c r="BC301" s="18">
        <f t="shared" si="842"/>
        <v>0</v>
      </c>
      <c r="BD301" s="18">
        <f t="shared" si="842"/>
        <v>0</v>
      </c>
      <c r="BE301" s="18">
        <f t="shared" si="842"/>
        <v>0</v>
      </c>
      <c r="BF301" s="18">
        <f t="shared" si="842"/>
        <v>0</v>
      </c>
      <c r="BG301" s="18">
        <f t="shared" si="842"/>
        <v>0</v>
      </c>
      <c r="BH301" s="18">
        <f t="shared" si="842"/>
        <v>0</v>
      </c>
      <c r="BI301" s="18">
        <f t="shared" si="842"/>
        <v>0</v>
      </c>
      <c r="BJ301" s="18">
        <f t="shared" si="842"/>
        <v>0</v>
      </c>
      <c r="BK301" s="18">
        <f t="shared" si="842"/>
        <v>0</v>
      </c>
      <c r="BL301" s="18">
        <f t="shared" si="842"/>
        <v>0</v>
      </c>
      <c r="BM301" s="18">
        <f t="shared" si="842"/>
        <v>0</v>
      </c>
      <c r="BN301" s="18">
        <f t="shared" si="842"/>
        <v>0</v>
      </c>
      <c r="BO301" s="18">
        <f t="shared" si="842"/>
        <v>0</v>
      </c>
      <c r="BP301" s="18">
        <f t="shared" si="842"/>
        <v>0</v>
      </c>
      <c r="BQ301" s="18">
        <f t="shared" si="842"/>
        <v>0</v>
      </c>
      <c r="BR301" s="18">
        <f t="shared" si="842"/>
        <v>0</v>
      </c>
      <c r="BS301" s="18">
        <f t="shared" si="842"/>
        <v>0</v>
      </c>
      <c r="BT301" s="18">
        <f t="shared" si="842"/>
        <v>0</v>
      </c>
      <c r="BU301" s="18">
        <f t="shared" si="842"/>
        <v>0</v>
      </c>
      <c r="BV301" s="18">
        <f t="shared" si="842"/>
        <v>0</v>
      </c>
      <c r="BW301" s="18">
        <f t="shared" si="842"/>
        <v>0</v>
      </c>
      <c r="BX301" s="18">
        <f t="shared" si="842"/>
        <v>0</v>
      </c>
      <c r="BY301" s="18">
        <f t="shared" si="842"/>
        <v>0</v>
      </c>
      <c r="BZ301" s="18">
        <f t="shared" si="821"/>
        <v>0</v>
      </c>
      <c r="CA301" s="18">
        <f t="shared" si="842"/>
        <v>0</v>
      </c>
      <c r="CB301" s="18">
        <f t="shared" si="842"/>
        <v>0</v>
      </c>
      <c r="CC301" s="18">
        <f t="shared" si="842"/>
        <v>0</v>
      </c>
      <c r="CD301" s="18">
        <f t="shared" si="842"/>
        <v>0</v>
      </c>
      <c r="CE301" s="18">
        <f t="shared" si="842"/>
        <v>0</v>
      </c>
      <c r="CF301" s="18">
        <f t="shared" si="842"/>
        <v>0</v>
      </c>
      <c r="CG301" s="18">
        <f t="shared" si="842"/>
        <v>0</v>
      </c>
      <c r="CH301" s="18">
        <f t="shared" si="842"/>
        <v>0</v>
      </c>
      <c r="CI301" s="18">
        <f t="shared" si="842"/>
        <v>0</v>
      </c>
      <c r="CJ301" s="18">
        <f t="shared" si="842"/>
        <v>0</v>
      </c>
      <c r="CK301" s="18">
        <f t="shared" si="842"/>
        <v>0</v>
      </c>
      <c r="CL301" s="18">
        <f t="shared" si="842"/>
        <v>0</v>
      </c>
      <c r="CM301" s="18">
        <f t="shared" si="842"/>
        <v>0</v>
      </c>
      <c r="CN301" s="18"/>
      <c r="CO301" s="18">
        <f t="shared" si="842"/>
        <v>0</v>
      </c>
      <c r="CP301" s="74"/>
      <c r="CQ301" s="74"/>
      <c r="CR301" s="74"/>
      <c r="CS301" s="18">
        <f t="shared" si="842"/>
        <v>0</v>
      </c>
      <c r="CT301" s="18">
        <f t="shared" si="842"/>
        <v>0</v>
      </c>
      <c r="CU301" s="18">
        <f t="shared" ref="CU301:CV301" si="843">SUM(CU302)</f>
        <v>0</v>
      </c>
      <c r="CV301" s="46">
        <f t="shared" si="843"/>
        <v>0</v>
      </c>
      <c r="CW301" s="52"/>
    </row>
    <row r="302" spans="1:101" ht="15.6" x14ac:dyDescent="0.3">
      <c r="A302" s="105" t="s">
        <v>1</v>
      </c>
      <c r="B302" s="21" t="s">
        <v>66</v>
      </c>
      <c r="C302" s="31" t="s">
        <v>321</v>
      </c>
      <c r="D302" s="19">
        <f>SUM(E302+BZ302+CS302)</f>
        <v>11926473</v>
      </c>
      <c r="E302" s="19">
        <f>SUM(F302+BA302)</f>
        <v>11926473</v>
      </c>
      <c r="F302" s="19">
        <f>SUM(G302+H302+I302+P302+S302+T302+U302+AE302+AD302)</f>
        <v>11926473</v>
      </c>
      <c r="G302" s="19"/>
      <c r="H302" s="19"/>
      <c r="I302" s="19">
        <f>SUM(J302:O302)</f>
        <v>0</v>
      </c>
      <c r="J302" s="19"/>
      <c r="K302" s="19"/>
      <c r="L302" s="19"/>
      <c r="M302" s="19"/>
      <c r="N302" s="19"/>
      <c r="O302" s="19"/>
      <c r="P302" s="19">
        <f>SUM(Q302:R302)</f>
        <v>0</v>
      </c>
      <c r="Q302" s="19"/>
      <c r="R302" s="19"/>
      <c r="S302" s="19"/>
      <c r="T302" s="19"/>
      <c r="U302" s="19">
        <f t="shared" ref="U302" si="844">SUM(V302:AC302)</f>
        <v>0</v>
      </c>
      <c r="V302" s="19"/>
      <c r="W302" s="19"/>
      <c r="X302" s="19"/>
      <c r="Y302" s="19"/>
      <c r="Z302" s="19"/>
      <c r="AA302" s="19"/>
      <c r="AB302" s="19"/>
      <c r="AC302" s="19"/>
      <c r="AD302" s="19"/>
      <c r="AE302" s="19">
        <f>SUM(AF302:AZ302)</f>
        <v>11926473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v>0</v>
      </c>
      <c r="AV302" s="19">
        <v>0</v>
      </c>
      <c r="AW302" s="19">
        <v>0</v>
      </c>
      <c r="AX302" s="19">
        <v>0</v>
      </c>
      <c r="AY302" s="19">
        <v>0</v>
      </c>
      <c r="AZ302" s="24">
        <f>21925000-9998527</f>
        <v>11926473</v>
      </c>
      <c r="BA302" s="19">
        <f>SUM(BB302+BF302+BI302+BK302+BN302)</f>
        <v>0</v>
      </c>
      <c r="BB302" s="19">
        <f>SUM(BC302:BE302)</f>
        <v>0</v>
      </c>
      <c r="BC302" s="24"/>
      <c r="BD302" s="19">
        <v>0</v>
      </c>
      <c r="BE302" s="19">
        <v>0</v>
      </c>
      <c r="BF302" s="19">
        <f>SUM(BH302:BH302)</f>
        <v>0</v>
      </c>
      <c r="BG302" s="19">
        <v>0</v>
      </c>
      <c r="BH302" s="19">
        <v>0</v>
      </c>
      <c r="BI302" s="19">
        <v>0</v>
      </c>
      <c r="BJ302" s="19">
        <v>0</v>
      </c>
      <c r="BK302" s="19">
        <f>SUM(BL302)</f>
        <v>0</v>
      </c>
      <c r="BL302" s="19">
        <v>0</v>
      </c>
      <c r="BM302" s="19">
        <v>0</v>
      </c>
      <c r="BN302" s="19">
        <f>SUM(BO302:BY302)</f>
        <v>0</v>
      </c>
      <c r="BO302" s="19">
        <v>0</v>
      </c>
      <c r="BP302" s="19">
        <v>0</v>
      </c>
      <c r="BQ302" s="19">
        <v>0</v>
      </c>
      <c r="BR302" s="19">
        <v>0</v>
      </c>
      <c r="BS302" s="19">
        <v>0</v>
      </c>
      <c r="BT302" s="19">
        <v>0</v>
      </c>
      <c r="BU302" s="19">
        <v>0</v>
      </c>
      <c r="BV302" s="19">
        <v>0</v>
      </c>
      <c r="BW302" s="19">
        <v>0</v>
      </c>
      <c r="BX302" s="19"/>
      <c r="BY302" s="19"/>
      <c r="BZ302" s="19">
        <f t="shared" si="821"/>
        <v>0</v>
      </c>
      <c r="CA302" s="19">
        <f>SUM(CB302+CE302+CK302)</f>
        <v>0</v>
      </c>
      <c r="CB302" s="19">
        <f>SUM(CC302:CD302)</f>
        <v>0</v>
      </c>
      <c r="CC302" s="19">
        <v>0</v>
      </c>
      <c r="CD302" s="19"/>
      <c r="CE302" s="19">
        <f>SUM(CF302:CJ302)</f>
        <v>0</v>
      </c>
      <c r="CF302" s="19">
        <v>0</v>
      </c>
      <c r="CG302" s="19">
        <v>0</v>
      </c>
      <c r="CH302" s="19"/>
      <c r="CI302" s="19"/>
      <c r="CJ302" s="19"/>
      <c r="CK302" s="19">
        <f>SUM(CL302:CN302)</f>
        <v>0</v>
      </c>
      <c r="CL302" s="19"/>
      <c r="CM302" s="19"/>
      <c r="CN302" s="19"/>
      <c r="CO302" s="19">
        <v>0</v>
      </c>
      <c r="CP302" s="75"/>
      <c r="CQ302" s="75"/>
      <c r="CR302" s="75"/>
      <c r="CS302" s="19">
        <f>SUM(CT302)</f>
        <v>0</v>
      </c>
      <c r="CT302" s="19">
        <f>SUM(CU302:CV302)</f>
        <v>0</v>
      </c>
      <c r="CU302" s="19">
        <v>0</v>
      </c>
      <c r="CV302" s="20">
        <v>0</v>
      </c>
      <c r="CW302" s="57"/>
    </row>
    <row r="303" spans="1:101" s="58" customFormat="1" ht="31.2" x14ac:dyDescent="0.3">
      <c r="A303" s="104" t="s">
        <v>322</v>
      </c>
      <c r="B303" s="16" t="s">
        <v>1</v>
      </c>
      <c r="C303" s="30" t="s">
        <v>323</v>
      </c>
      <c r="D303" s="18">
        <f t="shared" ref="D303:AK303" si="845">SUM(D304)</f>
        <v>47635629</v>
      </c>
      <c r="E303" s="18">
        <f t="shared" si="845"/>
        <v>47635629</v>
      </c>
      <c r="F303" s="18">
        <f t="shared" si="845"/>
        <v>1428973</v>
      </c>
      <c r="G303" s="18">
        <f t="shared" si="845"/>
        <v>0</v>
      </c>
      <c r="H303" s="18">
        <f t="shared" si="845"/>
        <v>0</v>
      </c>
      <c r="I303" s="18">
        <f t="shared" si="845"/>
        <v>0</v>
      </c>
      <c r="J303" s="18">
        <f t="shared" si="845"/>
        <v>0</v>
      </c>
      <c r="K303" s="18">
        <f t="shared" si="845"/>
        <v>0</v>
      </c>
      <c r="L303" s="18">
        <f t="shared" si="845"/>
        <v>0</v>
      </c>
      <c r="M303" s="18">
        <f t="shared" si="845"/>
        <v>0</v>
      </c>
      <c r="N303" s="18">
        <f t="shared" si="845"/>
        <v>0</v>
      </c>
      <c r="O303" s="18">
        <f t="shared" si="845"/>
        <v>0</v>
      </c>
      <c r="P303" s="18">
        <f t="shared" si="845"/>
        <v>0</v>
      </c>
      <c r="Q303" s="18">
        <f t="shared" si="845"/>
        <v>0</v>
      </c>
      <c r="R303" s="18">
        <f t="shared" si="845"/>
        <v>0</v>
      </c>
      <c r="S303" s="18">
        <f t="shared" si="845"/>
        <v>0</v>
      </c>
      <c r="T303" s="18">
        <f t="shared" si="845"/>
        <v>0</v>
      </c>
      <c r="U303" s="18">
        <f t="shared" si="845"/>
        <v>0</v>
      </c>
      <c r="V303" s="18">
        <f t="shared" si="845"/>
        <v>0</v>
      </c>
      <c r="W303" s="18">
        <f t="shared" si="845"/>
        <v>0</v>
      </c>
      <c r="X303" s="18">
        <f t="shared" si="845"/>
        <v>0</v>
      </c>
      <c r="Y303" s="18">
        <f t="shared" si="845"/>
        <v>0</v>
      </c>
      <c r="Z303" s="18">
        <f t="shared" si="845"/>
        <v>0</v>
      </c>
      <c r="AA303" s="18">
        <f t="shared" si="845"/>
        <v>0</v>
      </c>
      <c r="AB303" s="18">
        <f t="shared" si="845"/>
        <v>0</v>
      </c>
      <c r="AC303" s="18">
        <f t="shared" si="845"/>
        <v>0</v>
      </c>
      <c r="AD303" s="18">
        <f t="shared" si="845"/>
        <v>0</v>
      </c>
      <c r="AE303" s="18">
        <f t="shared" si="845"/>
        <v>1428973</v>
      </c>
      <c r="AF303" s="18">
        <f t="shared" si="845"/>
        <v>0</v>
      </c>
      <c r="AG303" s="18">
        <f t="shared" si="845"/>
        <v>0</v>
      </c>
      <c r="AH303" s="18">
        <f t="shared" si="845"/>
        <v>0</v>
      </c>
      <c r="AI303" s="18">
        <f t="shared" si="845"/>
        <v>0</v>
      </c>
      <c r="AJ303" s="18">
        <f t="shared" si="845"/>
        <v>0</v>
      </c>
      <c r="AK303" s="18">
        <f t="shared" si="845"/>
        <v>0</v>
      </c>
      <c r="AL303" s="18">
        <f t="shared" ref="AL303:CV303" si="846">SUM(AL304)</f>
        <v>0</v>
      </c>
      <c r="AM303" s="18">
        <f t="shared" si="846"/>
        <v>0</v>
      </c>
      <c r="AN303" s="18">
        <f t="shared" si="846"/>
        <v>0</v>
      </c>
      <c r="AO303" s="18">
        <f t="shared" si="846"/>
        <v>0</v>
      </c>
      <c r="AP303" s="18">
        <f t="shared" si="846"/>
        <v>0</v>
      </c>
      <c r="AQ303" s="18">
        <f t="shared" si="846"/>
        <v>0</v>
      </c>
      <c r="AR303" s="18">
        <f t="shared" si="846"/>
        <v>0</v>
      </c>
      <c r="AS303" s="18">
        <f t="shared" si="846"/>
        <v>0</v>
      </c>
      <c r="AT303" s="18">
        <f t="shared" si="846"/>
        <v>0</v>
      </c>
      <c r="AU303" s="18">
        <f t="shared" si="846"/>
        <v>0</v>
      </c>
      <c r="AV303" s="18">
        <f t="shared" si="846"/>
        <v>0</v>
      </c>
      <c r="AW303" s="18">
        <f t="shared" si="846"/>
        <v>0</v>
      </c>
      <c r="AX303" s="18">
        <f t="shared" si="846"/>
        <v>0</v>
      </c>
      <c r="AY303" s="18"/>
      <c r="AZ303" s="18">
        <f t="shared" si="846"/>
        <v>1428973</v>
      </c>
      <c r="BA303" s="18">
        <f t="shared" si="846"/>
        <v>46206656</v>
      </c>
      <c r="BB303" s="18">
        <f t="shared" si="846"/>
        <v>46206656</v>
      </c>
      <c r="BC303" s="18">
        <f t="shared" si="846"/>
        <v>46206656</v>
      </c>
      <c r="BD303" s="18">
        <f t="shared" si="846"/>
        <v>0</v>
      </c>
      <c r="BE303" s="18">
        <f t="shared" si="846"/>
        <v>0</v>
      </c>
      <c r="BF303" s="18">
        <f t="shared" si="846"/>
        <v>0</v>
      </c>
      <c r="BG303" s="18">
        <f t="shared" si="846"/>
        <v>0</v>
      </c>
      <c r="BH303" s="18">
        <f t="shared" si="846"/>
        <v>0</v>
      </c>
      <c r="BI303" s="18">
        <f t="shared" si="846"/>
        <v>0</v>
      </c>
      <c r="BJ303" s="18">
        <f t="shared" si="846"/>
        <v>0</v>
      </c>
      <c r="BK303" s="18">
        <f t="shared" si="846"/>
        <v>0</v>
      </c>
      <c r="BL303" s="18">
        <f t="shared" si="846"/>
        <v>0</v>
      </c>
      <c r="BM303" s="18">
        <f t="shared" si="846"/>
        <v>0</v>
      </c>
      <c r="BN303" s="18">
        <f t="shared" si="846"/>
        <v>0</v>
      </c>
      <c r="BO303" s="18">
        <f t="shared" si="846"/>
        <v>0</v>
      </c>
      <c r="BP303" s="18">
        <f t="shared" si="846"/>
        <v>0</v>
      </c>
      <c r="BQ303" s="18">
        <f t="shared" si="846"/>
        <v>0</v>
      </c>
      <c r="BR303" s="18">
        <f t="shared" si="846"/>
        <v>0</v>
      </c>
      <c r="BS303" s="18">
        <f t="shared" si="846"/>
        <v>0</v>
      </c>
      <c r="BT303" s="18">
        <f t="shared" si="846"/>
        <v>0</v>
      </c>
      <c r="BU303" s="18">
        <f t="shared" si="846"/>
        <v>0</v>
      </c>
      <c r="BV303" s="18">
        <f t="shared" si="846"/>
        <v>0</v>
      </c>
      <c r="BW303" s="18">
        <f t="shared" si="846"/>
        <v>0</v>
      </c>
      <c r="BX303" s="18">
        <f t="shared" si="846"/>
        <v>0</v>
      </c>
      <c r="BY303" s="18">
        <f t="shared" si="846"/>
        <v>0</v>
      </c>
      <c r="BZ303" s="18">
        <f t="shared" si="821"/>
        <v>0</v>
      </c>
      <c r="CA303" s="18">
        <f t="shared" si="846"/>
        <v>0</v>
      </c>
      <c r="CB303" s="18">
        <f t="shared" si="846"/>
        <v>0</v>
      </c>
      <c r="CC303" s="18">
        <f t="shared" si="846"/>
        <v>0</v>
      </c>
      <c r="CD303" s="18">
        <f t="shared" si="846"/>
        <v>0</v>
      </c>
      <c r="CE303" s="18">
        <f t="shared" si="846"/>
        <v>0</v>
      </c>
      <c r="CF303" s="18">
        <f t="shared" si="846"/>
        <v>0</v>
      </c>
      <c r="CG303" s="18">
        <f t="shared" si="846"/>
        <v>0</v>
      </c>
      <c r="CH303" s="18">
        <f t="shared" si="846"/>
        <v>0</v>
      </c>
      <c r="CI303" s="18">
        <f t="shared" si="846"/>
        <v>0</v>
      </c>
      <c r="CJ303" s="18">
        <f t="shared" si="846"/>
        <v>0</v>
      </c>
      <c r="CK303" s="18">
        <f t="shared" si="846"/>
        <v>0</v>
      </c>
      <c r="CL303" s="18">
        <f t="shared" si="846"/>
        <v>0</v>
      </c>
      <c r="CM303" s="18">
        <f t="shared" si="846"/>
        <v>0</v>
      </c>
      <c r="CN303" s="18"/>
      <c r="CO303" s="18">
        <f t="shared" si="846"/>
        <v>0</v>
      </c>
      <c r="CP303" s="74"/>
      <c r="CQ303" s="74"/>
      <c r="CR303" s="74"/>
      <c r="CS303" s="18">
        <f t="shared" si="846"/>
        <v>0</v>
      </c>
      <c r="CT303" s="18">
        <f t="shared" si="846"/>
        <v>0</v>
      </c>
      <c r="CU303" s="18">
        <f t="shared" si="846"/>
        <v>0</v>
      </c>
      <c r="CV303" s="46">
        <f t="shared" si="846"/>
        <v>0</v>
      </c>
      <c r="CW303" s="52"/>
    </row>
    <row r="304" spans="1:101" ht="15.6" x14ac:dyDescent="0.3">
      <c r="A304" s="105" t="s">
        <v>1</v>
      </c>
      <c r="B304" s="21" t="s">
        <v>66</v>
      </c>
      <c r="C304" s="31" t="s">
        <v>323</v>
      </c>
      <c r="D304" s="19">
        <f>SUM(E304+BZ304+CS304)</f>
        <v>47635629</v>
      </c>
      <c r="E304" s="19">
        <f>SUM(F304+BA304)</f>
        <v>47635629</v>
      </c>
      <c r="F304" s="19">
        <f>SUM(G304+H304+I304+P304+S304+T304+U304+AE304+AD304)</f>
        <v>1428973</v>
      </c>
      <c r="G304" s="19">
        <v>0</v>
      </c>
      <c r="H304" s="19">
        <v>0</v>
      </c>
      <c r="I304" s="19">
        <f t="shared" si="817"/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f t="shared" si="818"/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f t="shared" ref="U304" si="847">SUM(V304:AC304)</f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f>SUM(AF304:AZ304)</f>
        <v>1428973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v>0</v>
      </c>
      <c r="AV304" s="19">
        <v>0</v>
      </c>
      <c r="AW304" s="19">
        <v>0</v>
      </c>
      <c r="AX304" s="19">
        <v>0</v>
      </c>
      <c r="AY304" s="19">
        <v>0</v>
      </c>
      <c r="AZ304" s="23">
        <f>14010000+1620629-14201656</f>
        <v>1428973</v>
      </c>
      <c r="BA304" s="19">
        <f>SUM(BB304+BF304+BI304+BK304+BN304)</f>
        <v>46206656</v>
      </c>
      <c r="BB304" s="19">
        <f>SUM(BC304:BE304)</f>
        <v>46206656</v>
      </c>
      <c r="BC304" s="23">
        <f>32005000+14201656</f>
        <v>46206656</v>
      </c>
      <c r="BD304" s="19">
        <v>0</v>
      </c>
      <c r="BE304" s="19">
        <v>0</v>
      </c>
      <c r="BF304" s="19">
        <f>SUM(BH304:BH304)</f>
        <v>0</v>
      </c>
      <c r="BG304" s="19">
        <v>0</v>
      </c>
      <c r="BH304" s="19">
        <v>0</v>
      </c>
      <c r="BI304" s="19"/>
      <c r="BJ304" s="19">
        <v>0</v>
      </c>
      <c r="BK304" s="19">
        <f t="shared" si="820"/>
        <v>0</v>
      </c>
      <c r="BL304" s="19">
        <v>0</v>
      </c>
      <c r="BM304" s="19">
        <v>0</v>
      </c>
      <c r="BN304" s="19">
        <f>SUM(BO304:BY304)</f>
        <v>0</v>
      </c>
      <c r="BO304" s="19">
        <v>0</v>
      </c>
      <c r="BP304" s="19">
        <v>0</v>
      </c>
      <c r="BQ304" s="19">
        <v>0</v>
      </c>
      <c r="BR304" s="19">
        <v>0</v>
      </c>
      <c r="BS304" s="19">
        <v>0</v>
      </c>
      <c r="BT304" s="19">
        <v>0</v>
      </c>
      <c r="BU304" s="19">
        <v>0</v>
      </c>
      <c r="BV304" s="19">
        <v>0</v>
      </c>
      <c r="BW304" s="19">
        <v>0</v>
      </c>
      <c r="BX304" s="19">
        <v>0</v>
      </c>
      <c r="BY304" s="19"/>
      <c r="BZ304" s="19">
        <f t="shared" si="821"/>
        <v>0</v>
      </c>
      <c r="CA304" s="19">
        <f>SUM(CB304+CE304+CK304)</f>
        <v>0</v>
      </c>
      <c r="CB304" s="19">
        <f t="shared" si="822"/>
        <v>0</v>
      </c>
      <c r="CC304" s="19">
        <v>0</v>
      </c>
      <c r="CD304" s="19">
        <v>0</v>
      </c>
      <c r="CE304" s="19">
        <f>SUM(CF304:CJ304)</f>
        <v>0</v>
      </c>
      <c r="CF304" s="19">
        <v>0</v>
      </c>
      <c r="CG304" s="19">
        <v>0</v>
      </c>
      <c r="CH304" s="19">
        <v>0</v>
      </c>
      <c r="CI304" s="19">
        <v>0</v>
      </c>
      <c r="CJ304" s="19">
        <v>0</v>
      </c>
      <c r="CK304" s="19">
        <f>SUM(CL304:CN304)</f>
        <v>0</v>
      </c>
      <c r="CL304" s="19">
        <v>0</v>
      </c>
      <c r="CM304" s="19">
        <v>0</v>
      </c>
      <c r="CN304" s="19"/>
      <c r="CO304" s="19">
        <v>0</v>
      </c>
      <c r="CP304" s="75"/>
      <c r="CQ304" s="75"/>
      <c r="CR304" s="75"/>
      <c r="CS304" s="19">
        <f t="shared" si="823"/>
        <v>0</v>
      </c>
      <c r="CT304" s="19">
        <f t="shared" si="824"/>
        <v>0</v>
      </c>
      <c r="CU304" s="19">
        <v>0</v>
      </c>
      <c r="CV304" s="20">
        <v>0</v>
      </c>
      <c r="CW304" s="57"/>
    </row>
    <row r="305" spans="1:102" ht="16.2" thickBot="1" x14ac:dyDescent="0.35">
      <c r="A305" s="110" t="s">
        <v>1</v>
      </c>
      <c r="B305" s="47" t="s">
        <v>1</v>
      </c>
      <c r="C305" s="48" t="s">
        <v>324</v>
      </c>
      <c r="D305" s="49">
        <f t="shared" ref="D305:AI305" si="848">D12+D44+D55+D58+D63+D81+D93+D96+D99+D106+D117+D138+D152+D161+D174+D208+D212+D274+D277</f>
        <v>5464584044</v>
      </c>
      <c r="E305" s="49">
        <f t="shared" si="848"/>
        <v>5036312147</v>
      </c>
      <c r="F305" s="49">
        <f t="shared" si="848"/>
        <v>3362573375</v>
      </c>
      <c r="G305" s="49">
        <f t="shared" si="848"/>
        <v>1934259327</v>
      </c>
      <c r="H305" s="49">
        <f t="shared" si="848"/>
        <v>314052788</v>
      </c>
      <c r="I305" s="49">
        <f t="shared" si="848"/>
        <v>445788911</v>
      </c>
      <c r="J305" s="49">
        <f t="shared" si="848"/>
        <v>122541399</v>
      </c>
      <c r="K305" s="49">
        <f t="shared" si="848"/>
        <v>62089908</v>
      </c>
      <c r="L305" s="49">
        <f t="shared" si="848"/>
        <v>103047646</v>
      </c>
      <c r="M305" s="49">
        <f t="shared" si="848"/>
        <v>8746805</v>
      </c>
      <c r="N305" s="49">
        <f t="shared" si="848"/>
        <v>97911152</v>
      </c>
      <c r="O305" s="49">
        <f t="shared" si="848"/>
        <v>51452001</v>
      </c>
      <c r="P305" s="49">
        <f t="shared" si="848"/>
        <v>9403124</v>
      </c>
      <c r="Q305" s="49">
        <f t="shared" si="848"/>
        <v>279088</v>
      </c>
      <c r="R305" s="49">
        <f t="shared" si="848"/>
        <v>9124036</v>
      </c>
      <c r="S305" s="49">
        <f t="shared" si="848"/>
        <v>179045</v>
      </c>
      <c r="T305" s="49">
        <f t="shared" si="848"/>
        <v>15336274</v>
      </c>
      <c r="U305" s="49">
        <f t="shared" si="848"/>
        <v>285026272</v>
      </c>
      <c r="V305" s="49">
        <f t="shared" si="848"/>
        <v>8235659</v>
      </c>
      <c r="W305" s="49">
        <f t="shared" si="848"/>
        <v>34873617</v>
      </c>
      <c r="X305" s="49">
        <f t="shared" si="848"/>
        <v>25409423</v>
      </c>
      <c r="Y305" s="49">
        <f t="shared" si="848"/>
        <v>14751269</v>
      </c>
      <c r="Z305" s="49">
        <f t="shared" si="848"/>
        <v>2500738</v>
      </c>
      <c r="AA305" s="49">
        <f t="shared" si="848"/>
        <v>1088746</v>
      </c>
      <c r="AB305" s="49">
        <f t="shared" si="848"/>
        <v>196495973</v>
      </c>
      <c r="AC305" s="49">
        <f t="shared" si="848"/>
        <v>1670847</v>
      </c>
      <c r="AD305" s="49">
        <f t="shared" si="848"/>
        <v>19182</v>
      </c>
      <c r="AE305" s="49">
        <f t="shared" si="848"/>
        <v>358508452</v>
      </c>
      <c r="AF305" s="49">
        <f t="shared" si="848"/>
        <v>100000</v>
      </c>
      <c r="AG305" s="49">
        <f t="shared" si="848"/>
        <v>13595053</v>
      </c>
      <c r="AH305" s="49">
        <f t="shared" si="848"/>
        <v>7115243</v>
      </c>
      <c r="AI305" s="49">
        <f t="shared" si="848"/>
        <v>14169277</v>
      </c>
      <c r="AJ305" s="49">
        <f t="shared" ref="AJ305:BO305" si="849">AJ12+AJ44+AJ55+AJ58+AJ63+AJ81+AJ93+AJ96+AJ99+AJ106+AJ117+AJ138+AJ152+AJ161+AJ174+AJ208+AJ212+AJ274+AJ277</f>
        <v>767013</v>
      </c>
      <c r="AK305" s="49">
        <f t="shared" si="849"/>
        <v>1720884</v>
      </c>
      <c r="AL305" s="49">
        <f t="shared" si="849"/>
        <v>1113476</v>
      </c>
      <c r="AM305" s="49">
        <f t="shared" si="849"/>
        <v>696753</v>
      </c>
      <c r="AN305" s="49">
        <f t="shared" si="849"/>
        <v>7051816</v>
      </c>
      <c r="AO305" s="49">
        <f t="shared" si="849"/>
        <v>8752579</v>
      </c>
      <c r="AP305" s="49">
        <f t="shared" si="849"/>
        <v>125048</v>
      </c>
      <c r="AQ305" s="49">
        <f t="shared" si="849"/>
        <v>20371331</v>
      </c>
      <c r="AR305" s="49">
        <f t="shared" si="849"/>
        <v>9364960</v>
      </c>
      <c r="AS305" s="49">
        <f t="shared" si="849"/>
        <v>1785762</v>
      </c>
      <c r="AT305" s="49">
        <f t="shared" si="849"/>
        <v>563649</v>
      </c>
      <c r="AU305" s="49">
        <f t="shared" si="849"/>
        <v>1926205</v>
      </c>
      <c r="AV305" s="49">
        <f t="shared" si="849"/>
        <v>20783056</v>
      </c>
      <c r="AW305" s="49">
        <f t="shared" si="849"/>
        <v>52110634</v>
      </c>
      <c r="AX305" s="49">
        <f t="shared" si="849"/>
        <v>3488228</v>
      </c>
      <c r="AY305" s="49">
        <f t="shared" si="849"/>
        <v>29474853</v>
      </c>
      <c r="AZ305" s="49">
        <f t="shared" si="849"/>
        <v>163432632</v>
      </c>
      <c r="BA305" s="49">
        <f t="shared" si="849"/>
        <v>1673738772</v>
      </c>
      <c r="BB305" s="49">
        <f t="shared" si="849"/>
        <v>274116737</v>
      </c>
      <c r="BC305" s="49">
        <f t="shared" si="849"/>
        <v>249359248</v>
      </c>
      <c r="BD305" s="49">
        <f t="shared" si="849"/>
        <v>6033387</v>
      </c>
      <c r="BE305" s="49">
        <f t="shared" si="849"/>
        <v>18724102</v>
      </c>
      <c r="BF305" s="49">
        <f t="shared" si="849"/>
        <v>29331374</v>
      </c>
      <c r="BG305" s="49">
        <f t="shared" si="849"/>
        <v>21759075</v>
      </c>
      <c r="BH305" s="49">
        <f t="shared" si="849"/>
        <v>7572299</v>
      </c>
      <c r="BI305" s="49">
        <f t="shared" si="849"/>
        <v>762295912</v>
      </c>
      <c r="BJ305" s="49">
        <f t="shared" si="849"/>
        <v>509352</v>
      </c>
      <c r="BK305" s="49">
        <f t="shared" si="849"/>
        <v>3590314</v>
      </c>
      <c r="BL305" s="49">
        <f t="shared" si="849"/>
        <v>1184463</v>
      </c>
      <c r="BM305" s="49">
        <f t="shared" si="849"/>
        <v>2405851</v>
      </c>
      <c r="BN305" s="49">
        <f t="shared" si="849"/>
        <v>604404435</v>
      </c>
      <c r="BO305" s="49">
        <f t="shared" si="849"/>
        <v>61357239</v>
      </c>
      <c r="BP305" s="49">
        <f t="shared" ref="BP305:CV305" si="850">BP12+BP44+BP55+BP58+BP63+BP81+BP93+BP96+BP99+BP106+BP117+BP138+BP152+BP161+BP174+BP208+BP212+BP274+BP277</f>
        <v>13158360</v>
      </c>
      <c r="BQ305" s="49">
        <f t="shared" si="850"/>
        <v>17178014</v>
      </c>
      <c r="BR305" s="49">
        <f t="shared" si="850"/>
        <v>25504374</v>
      </c>
      <c r="BS305" s="49">
        <f t="shared" si="850"/>
        <v>15000</v>
      </c>
      <c r="BT305" s="49">
        <f t="shared" si="850"/>
        <v>328732</v>
      </c>
      <c r="BU305" s="49">
        <f t="shared" si="850"/>
        <v>179412887</v>
      </c>
      <c r="BV305" s="49">
        <f t="shared" si="850"/>
        <v>1763250</v>
      </c>
      <c r="BW305" s="49">
        <f t="shared" si="850"/>
        <v>286944</v>
      </c>
      <c r="BX305" s="49">
        <f t="shared" si="850"/>
        <v>233806008</v>
      </c>
      <c r="BY305" s="49">
        <f t="shared" si="850"/>
        <v>71593627</v>
      </c>
      <c r="BZ305" s="49">
        <f t="shared" si="850"/>
        <v>360852512</v>
      </c>
      <c r="CA305" s="49">
        <f t="shared" si="850"/>
        <v>229144563</v>
      </c>
      <c r="CB305" s="49">
        <f t="shared" si="850"/>
        <v>41770728</v>
      </c>
      <c r="CC305" s="49">
        <f t="shared" si="850"/>
        <v>310560</v>
      </c>
      <c r="CD305" s="49">
        <f t="shared" si="850"/>
        <v>41460168</v>
      </c>
      <c r="CE305" s="49">
        <f t="shared" si="850"/>
        <v>94674952</v>
      </c>
      <c r="CF305" s="49">
        <f t="shared" si="850"/>
        <v>1749500</v>
      </c>
      <c r="CG305" s="49">
        <f t="shared" si="850"/>
        <v>84482563</v>
      </c>
      <c r="CH305" s="49">
        <f t="shared" si="850"/>
        <v>2424997</v>
      </c>
      <c r="CI305" s="49">
        <f t="shared" si="850"/>
        <v>4810080</v>
      </c>
      <c r="CJ305" s="49">
        <f t="shared" si="850"/>
        <v>1207812</v>
      </c>
      <c r="CK305" s="49">
        <f t="shared" si="850"/>
        <v>92698883</v>
      </c>
      <c r="CL305" s="49">
        <f t="shared" si="850"/>
        <v>59944529</v>
      </c>
      <c r="CM305" s="49">
        <f t="shared" si="850"/>
        <v>32754354</v>
      </c>
      <c r="CN305" s="49">
        <f t="shared" si="850"/>
        <v>0</v>
      </c>
      <c r="CO305" s="49">
        <f t="shared" si="850"/>
        <v>131707949</v>
      </c>
      <c r="CP305" s="49">
        <f t="shared" si="850"/>
        <v>67419385</v>
      </c>
      <c r="CQ305" s="49">
        <f t="shared" si="850"/>
        <v>67419385</v>
      </c>
      <c r="CR305" s="49">
        <f t="shared" si="850"/>
        <v>67419385</v>
      </c>
      <c r="CS305" s="49">
        <f t="shared" si="850"/>
        <v>0</v>
      </c>
      <c r="CT305" s="49">
        <f t="shared" si="850"/>
        <v>0</v>
      </c>
      <c r="CU305" s="49">
        <f t="shared" si="850"/>
        <v>0</v>
      </c>
      <c r="CV305" s="70">
        <f t="shared" si="850"/>
        <v>0</v>
      </c>
      <c r="CW305" s="52"/>
    </row>
    <row r="306" spans="1:102" x14ac:dyDescent="0.3">
      <c r="D306" s="61"/>
      <c r="CQ306" s="79"/>
      <c r="CT306" s="50"/>
    </row>
    <row r="307" spans="1:102" s="83" customFormat="1" x14ac:dyDescent="0.3">
      <c r="A307" s="50"/>
      <c r="B307" s="50"/>
      <c r="C307" s="85"/>
      <c r="D307" s="71">
        <v>5464584044</v>
      </c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50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1"/>
      <c r="BH307" s="71"/>
      <c r="BI307" s="71"/>
      <c r="BJ307" s="71"/>
      <c r="BK307" s="71"/>
      <c r="BL307" s="71"/>
      <c r="BM307" s="71"/>
      <c r="BN307" s="71"/>
      <c r="BO307" s="71"/>
      <c r="BP307" s="71"/>
      <c r="BQ307" s="71"/>
      <c r="BR307" s="71"/>
      <c r="BS307" s="71"/>
      <c r="BT307" s="71"/>
      <c r="BU307" s="71"/>
      <c r="BV307" s="71"/>
      <c r="BW307" s="71"/>
      <c r="BX307" s="71"/>
      <c r="BY307" s="71"/>
      <c r="BZ307" s="71"/>
      <c r="CA307" s="71"/>
      <c r="CB307" s="71"/>
      <c r="CC307" s="71"/>
      <c r="CD307" s="71"/>
      <c r="CE307" s="71"/>
      <c r="CF307" s="71"/>
      <c r="CG307" s="71"/>
      <c r="CH307" s="71"/>
      <c r="CI307" s="71"/>
      <c r="CJ307" s="71"/>
      <c r="CK307" s="71"/>
      <c r="CL307" s="71"/>
      <c r="CM307" s="71"/>
      <c r="CN307" s="71"/>
      <c r="CO307" s="71"/>
      <c r="CP307" s="71"/>
      <c r="CQ307" s="71"/>
      <c r="CR307" s="91"/>
      <c r="CS307" s="91"/>
      <c r="CT307" s="91"/>
      <c r="CU307" s="71"/>
      <c r="CV307" s="71"/>
      <c r="CW307" s="71"/>
      <c r="CX307" s="50"/>
    </row>
    <row r="308" spans="1:102" x14ac:dyDescent="0.3">
      <c r="A308" s="100"/>
      <c r="B308" s="100"/>
      <c r="C308" s="111" t="s">
        <v>610</v>
      </c>
      <c r="D308" s="100">
        <f>D307-D305</f>
        <v>0</v>
      </c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  <c r="BH308" s="101"/>
      <c r="BI308" s="101"/>
      <c r="BJ308" s="101"/>
      <c r="BK308" s="101"/>
      <c r="BL308" s="101"/>
      <c r="BM308" s="101"/>
      <c r="BN308" s="101"/>
      <c r="BO308" s="101"/>
      <c r="BP308" s="101"/>
      <c r="BQ308" s="101"/>
      <c r="BR308" s="101"/>
      <c r="BS308" s="101"/>
      <c r="BT308" s="101"/>
      <c r="BU308" s="101"/>
      <c r="BV308" s="101"/>
      <c r="BW308" s="101"/>
      <c r="BX308" s="101"/>
      <c r="BY308" s="101"/>
      <c r="BZ308" s="101"/>
      <c r="CA308" s="101"/>
      <c r="CB308" s="101"/>
      <c r="CC308" s="101"/>
      <c r="CD308" s="101"/>
      <c r="CE308" s="101"/>
      <c r="CF308" s="101"/>
      <c r="CG308" s="101"/>
      <c r="CH308" s="101"/>
      <c r="CI308" s="101"/>
      <c r="CJ308" s="101"/>
      <c r="CK308" s="101"/>
      <c r="CL308" s="101"/>
      <c r="CM308" s="101"/>
      <c r="CN308" s="101"/>
      <c r="CO308" s="101"/>
      <c r="CP308" s="101"/>
      <c r="CQ308" s="101"/>
      <c r="CR308" s="101"/>
      <c r="CT308" s="50"/>
    </row>
    <row r="309" spans="1:102" s="81" customFormat="1" ht="13.8" x14ac:dyDescent="0.3">
      <c r="CS309" s="92"/>
      <c r="CT309" s="80"/>
      <c r="CU309" s="80"/>
      <c r="CV309" s="80"/>
      <c r="CW309" s="80"/>
    </row>
    <row r="310" spans="1:102" x14ac:dyDescent="0.3">
      <c r="CT310" s="50"/>
    </row>
    <row r="311" spans="1:102" x14ac:dyDescent="0.3">
      <c r="CS311" s="91"/>
      <c r="CT311" s="71"/>
      <c r="CU311" s="71"/>
      <c r="CV311" s="71"/>
      <c r="CW311" s="71"/>
    </row>
    <row r="312" spans="1:102" x14ac:dyDescent="0.3">
      <c r="CT312" s="50"/>
    </row>
    <row r="313" spans="1:102" x14ac:dyDescent="0.3">
      <c r="CT313" s="50"/>
    </row>
    <row r="314" spans="1:102" x14ac:dyDescent="0.3">
      <c r="CT314" s="50"/>
    </row>
    <row r="315" spans="1:102" x14ac:dyDescent="0.3">
      <c r="CT315" s="50"/>
    </row>
    <row r="316" spans="1:102" x14ac:dyDescent="0.3">
      <c r="CT316" s="50"/>
    </row>
    <row r="317" spans="1:102" x14ac:dyDescent="0.3">
      <c r="CT317" s="50"/>
    </row>
    <row r="318" spans="1:102" x14ac:dyDescent="0.3">
      <c r="CT318" s="50"/>
    </row>
    <row r="319" spans="1:102" x14ac:dyDescent="0.3">
      <c r="CT319" s="50"/>
    </row>
    <row r="320" spans="1:102" x14ac:dyDescent="0.3">
      <c r="CT320" s="50"/>
    </row>
    <row r="321" spans="98:98" x14ac:dyDescent="0.3">
      <c r="CT321" s="50"/>
    </row>
    <row r="322" spans="98:98" x14ac:dyDescent="0.3">
      <c r="CT322" s="50"/>
    </row>
    <row r="323" spans="98:98" x14ac:dyDescent="0.3">
      <c r="CT323" s="50"/>
    </row>
    <row r="324" spans="98:98" x14ac:dyDescent="0.3">
      <c r="CT324" s="50"/>
    </row>
    <row r="325" spans="98:98" x14ac:dyDescent="0.3">
      <c r="CT325" s="50"/>
    </row>
    <row r="326" spans="98:98" x14ac:dyDescent="0.3">
      <c r="CT326" s="50"/>
    </row>
    <row r="327" spans="98:98" x14ac:dyDescent="0.3">
      <c r="CT327" s="50"/>
    </row>
    <row r="328" spans="98:98" x14ac:dyDescent="0.3">
      <c r="CT328" s="50"/>
    </row>
    <row r="329" spans="98:98" x14ac:dyDescent="0.3">
      <c r="CT329" s="50"/>
    </row>
    <row r="330" spans="98:98" x14ac:dyDescent="0.3">
      <c r="CT330" s="50"/>
    </row>
    <row r="331" spans="98:98" x14ac:dyDescent="0.3">
      <c r="CT331" s="50"/>
    </row>
    <row r="332" spans="98:98" x14ac:dyDescent="0.3">
      <c r="CT332" s="50"/>
    </row>
    <row r="333" spans="98:98" x14ac:dyDescent="0.3">
      <c r="CT333" s="50"/>
    </row>
    <row r="334" spans="98:98" x14ac:dyDescent="0.3">
      <c r="CT334" s="50"/>
    </row>
    <row r="335" spans="98:98" x14ac:dyDescent="0.3">
      <c r="CT335" s="50"/>
    </row>
    <row r="336" spans="98:98" x14ac:dyDescent="0.3">
      <c r="CT336" s="50"/>
    </row>
    <row r="337" spans="98:98" x14ac:dyDescent="0.3">
      <c r="CT337" s="50"/>
    </row>
    <row r="338" spans="98:98" x14ac:dyDescent="0.3">
      <c r="CT338" s="50"/>
    </row>
    <row r="339" spans="98:98" x14ac:dyDescent="0.3">
      <c r="CT339" s="50"/>
    </row>
    <row r="340" spans="98:98" x14ac:dyDescent="0.3">
      <c r="CT340" s="50"/>
    </row>
    <row r="341" spans="98:98" x14ac:dyDescent="0.3">
      <c r="CT341" s="50"/>
    </row>
    <row r="342" spans="98:98" x14ac:dyDescent="0.3">
      <c r="CT342" s="50"/>
    </row>
    <row r="343" spans="98:98" x14ac:dyDescent="0.3">
      <c r="CT343" s="50"/>
    </row>
    <row r="344" spans="98:98" x14ac:dyDescent="0.3">
      <c r="CT344" s="50"/>
    </row>
    <row r="345" spans="98:98" x14ac:dyDescent="0.3">
      <c r="CT345" s="50"/>
    </row>
    <row r="346" spans="98:98" x14ac:dyDescent="0.3">
      <c r="CT346" s="50"/>
    </row>
    <row r="347" spans="98:98" x14ac:dyDescent="0.3">
      <c r="CT347" s="50"/>
    </row>
    <row r="348" spans="98:98" x14ac:dyDescent="0.3">
      <c r="CT348" s="50"/>
    </row>
    <row r="349" spans="98:98" x14ac:dyDescent="0.3">
      <c r="CT349" s="50"/>
    </row>
    <row r="350" spans="98:98" x14ac:dyDescent="0.3">
      <c r="CT350" s="50"/>
    </row>
    <row r="351" spans="98:98" x14ac:dyDescent="0.3">
      <c r="CT351" s="50"/>
    </row>
    <row r="352" spans="98:98" x14ac:dyDescent="0.3">
      <c r="CT352" s="50"/>
    </row>
    <row r="353" spans="98:98" x14ac:dyDescent="0.3">
      <c r="CT353" s="50"/>
    </row>
    <row r="354" spans="98:98" x14ac:dyDescent="0.3">
      <c r="CT354" s="50"/>
    </row>
    <row r="355" spans="98:98" x14ac:dyDescent="0.3">
      <c r="CT355" s="50"/>
    </row>
    <row r="356" spans="98:98" x14ac:dyDescent="0.3">
      <c r="CT356" s="50"/>
    </row>
    <row r="357" spans="98:98" x14ac:dyDescent="0.3">
      <c r="CT357" s="50"/>
    </row>
    <row r="358" spans="98:98" x14ac:dyDescent="0.3">
      <c r="CT358" s="50"/>
    </row>
    <row r="359" spans="98:98" x14ac:dyDescent="0.3">
      <c r="CT359" s="50"/>
    </row>
    <row r="360" spans="98:98" x14ac:dyDescent="0.3">
      <c r="CT360" s="50"/>
    </row>
    <row r="361" spans="98:98" x14ac:dyDescent="0.3">
      <c r="CT361" s="50"/>
    </row>
    <row r="362" spans="98:98" x14ac:dyDescent="0.3">
      <c r="CT362" s="50"/>
    </row>
    <row r="363" spans="98:98" x14ac:dyDescent="0.3">
      <c r="CT363" s="50"/>
    </row>
    <row r="364" spans="98:98" x14ac:dyDescent="0.3">
      <c r="CT364" s="50"/>
    </row>
    <row r="365" spans="98:98" x14ac:dyDescent="0.3">
      <c r="CT365" s="50"/>
    </row>
    <row r="366" spans="98:98" x14ac:dyDescent="0.3">
      <c r="CT366" s="50"/>
    </row>
    <row r="367" spans="98:98" x14ac:dyDescent="0.3">
      <c r="CT367" s="50"/>
    </row>
    <row r="368" spans="98:98" x14ac:dyDescent="0.3">
      <c r="CT368" s="50"/>
    </row>
    <row r="369" spans="98:98" x14ac:dyDescent="0.3">
      <c r="CT369" s="50"/>
    </row>
    <row r="370" spans="98:98" x14ac:dyDescent="0.3">
      <c r="CT370" s="50"/>
    </row>
    <row r="371" spans="98:98" x14ac:dyDescent="0.3">
      <c r="CT371" s="50"/>
    </row>
    <row r="372" spans="98:98" x14ac:dyDescent="0.3">
      <c r="CT372" s="50"/>
    </row>
    <row r="373" spans="98:98" x14ac:dyDescent="0.3">
      <c r="CT373" s="50"/>
    </row>
    <row r="374" spans="98:98" x14ac:dyDescent="0.3">
      <c r="CT374" s="50"/>
    </row>
    <row r="375" spans="98:98" x14ac:dyDescent="0.3">
      <c r="CT375" s="50"/>
    </row>
    <row r="376" spans="98:98" x14ac:dyDescent="0.3">
      <c r="CT376" s="50"/>
    </row>
    <row r="377" spans="98:98" x14ac:dyDescent="0.3">
      <c r="CT377" s="50"/>
    </row>
    <row r="378" spans="98:98" x14ac:dyDescent="0.3">
      <c r="CT378" s="50"/>
    </row>
    <row r="379" spans="98:98" x14ac:dyDescent="0.3">
      <c r="CT379" s="50"/>
    </row>
    <row r="380" spans="98:98" x14ac:dyDescent="0.3">
      <c r="CT380" s="50"/>
    </row>
    <row r="381" spans="98:98" x14ac:dyDescent="0.3">
      <c r="CT381" s="50"/>
    </row>
    <row r="382" spans="98:98" x14ac:dyDescent="0.3">
      <c r="CT382" s="50"/>
    </row>
    <row r="383" spans="98:98" x14ac:dyDescent="0.3">
      <c r="CT383" s="50"/>
    </row>
    <row r="384" spans="98:98" x14ac:dyDescent="0.3">
      <c r="CT384" s="50"/>
    </row>
    <row r="385" spans="98:98" x14ac:dyDescent="0.3">
      <c r="CT385" s="50"/>
    </row>
    <row r="386" spans="98:98" x14ac:dyDescent="0.3">
      <c r="CT386" s="50"/>
    </row>
    <row r="387" spans="98:98" x14ac:dyDescent="0.3">
      <c r="CT387" s="50"/>
    </row>
    <row r="388" spans="98:98" x14ac:dyDescent="0.3">
      <c r="CT388" s="50"/>
    </row>
    <row r="389" spans="98:98" x14ac:dyDescent="0.3">
      <c r="CT389" s="50"/>
    </row>
    <row r="390" spans="98:98" x14ac:dyDescent="0.3">
      <c r="CT390" s="50"/>
    </row>
    <row r="391" spans="98:98" x14ac:dyDescent="0.3">
      <c r="CT391" s="50"/>
    </row>
    <row r="392" spans="98:98" x14ac:dyDescent="0.3">
      <c r="CT392" s="50"/>
    </row>
    <row r="393" spans="98:98" x14ac:dyDescent="0.3">
      <c r="CT393" s="50"/>
    </row>
    <row r="394" spans="98:98" x14ac:dyDescent="0.3">
      <c r="CT394" s="50"/>
    </row>
    <row r="395" spans="98:98" x14ac:dyDescent="0.3">
      <c r="CT395" s="50"/>
    </row>
    <row r="396" spans="98:98" x14ac:dyDescent="0.3">
      <c r="CT396" s="50"/>
    </row>
    <row r="397" spans="98:98" x14ac:dyDescent="0.3">
      <c r="CT397" s="50"/>
    </row>
    <row r="398" spans="98:98" x14ac:dyDescent="0.3">
      <c r="CT398" s="50"/>
    </row>
    <row r="399" spans="98:98" x14ac:dyDescent="0.3">
      <c r="CT399" s="50"/>
    </row>
    <row r="400" spans="98:98" x14ac:dyDescent="0.3">
      <c r="CT400" s="50"/>
    </row>
    <row r="401" spans="98:98" x14ac:dyDescent="0.3">
      <c r="CT401" s="50"/>
    </row>
    <row r="402" spans="98:98" x14ac:dyDescent="0.3">
      <c r="CT402" s="50"/>
    </row>
    <row r="403" spans="98:98" x14ac:dyDescent="0.3">
      <c r="CT403" s="50"/>
    </row>
    <row r="404" spans="98:98" x14ac:dyDescent="0.3">
      <c r="CT404" s="50"/>
    </row>
    <row r="405" spans="98:98" x14ac:dyDescent="0.3">
      <c r="CT405" s="50"/>
    </row>
    <row r="406" spans="98:98" x14ac:dyDescent="0.3">
      <c r="CT406" s="50"/>
    </row>
    <row r="407" spans="98:98" x14ac:dyDescent="0.3">
      <c r="CT407" s="50"/>
    </row>
    <row r="408" spans="98:98" x14ac:dyDescent="0.3">
      <c r="CT408" s="50"/>
    </row>
    <row r="409" spans="98:98" x14ac:dyDescent="0.3">
      <c r="CT409" s="50"/>
    </row>
    <row r="410" spans="98:98" x14ac:dyDescent="0.3">
      <c r="CT410" s="50"/>
    </row>
    <row r="411" spans="98:98" x14ac:dyDescent="0.3">
      <c r="CT411" s="50"/>
    </row>
    <row r="412" spans="98:98" x14ac:dyDescent="0.3">
      <c r="CT412" s="50"/>
    </row>
    <row r="413" spans="98:98" x14ac:dyDescent="0.3">
      <c r="CT413" s="50"/>
    </row>
    <row r="414" spans="98:98" x14ac:dyDescent="0.3">
      <c r="CT414" s="50"/>
    </row>
    <row r="415" spans="98:98" x14ac:dyDescent="0.3">
      <c r="CT415" s="50"/>
    </row>
    <row r="416" spans="98:98" x14ac:dyDescent="0.3">
      <c r="CT416" s="50"/>
    </row>
    <row r="417" spans="98:98" x14ac:dyDescent="0.3">
      <c r="CT417" s="50"/>
    </row>
    <row r="418" spans="98:98" x14ac:dyDescent="0.3">
      <c r="CT418" s="50"/>
    </row>
    <row r="419" spans="98:98" x14ac:dyDescent="0.3">
      <c r="CT419" s="50"/>
    </row>
    <row r="420" spans="98:98" x14ac:dyDescent="0.3">
      <c r="CT420" s="50"/>
    </row>
    <row r="421" spans="98:98" x14ac:dyDescent="0.3">
      <c r="CT421" s="50"/>
    </row>
    <row r="422" spans="98:98" x14ac:dyDescent="0.3">
      <c r="CT422" s="50"/>
    </row>
    <row r="423" spans="98:98" x14ac:dyDescent="0.3">
      <c r="CT423" s="50"/>
    </row>
    <row r="424" spans="98:98" x14ac:dyDescent="0.3">
      <c r="CT424" s="50"/>
    </row>
    <row r="425" spans="98:98" x14ac:dyDescent="0.3">
      <c r="CT425" s="50"/>
    </row>
    <row r="426" spans="98:98" x14ac:dyDescent="0.3">
      <c r="CT426" s="50"/>
    </row>
    <row r="427" spans="98:98" x14ac:dyDescent="0.3">
      <c r="CT427" s="50"/>
    </row>
    <row r="428" spans="98:98" x14ac:dyDescent="0.3">
      <c r="CT428" s="50"/>
    </row>
    <row r="429" spans="98:98" x14ac:dyDescent="0.3">
      <c r="CT429" s="50"/>
    </row>
    <row r="430" spans="98:98" x14ac:dyDescent="0.3">
      <c r="CT430" s="50"/>
    </row>
    <row r="431" spans="98:98" x14ac:dyDescent="0.3">
      <c r="CT431" s="50"/>
    </row>
    <row r="432" spans="98:98" x14ac:dyDescent="0.3">
      <c r="CT432" s="50"/>
    </row>
    <row r="433" spans="98:98" x14ac:dyDescent="0.3">
      <c r="CT433" s="50"/>
    </row>
    <row r="434" spans="98:98" x14ac:dyDescent="0.3">
      <c r="CT434" s="50"/>
    </row>
    <row r="435" spans="98:98" x14ac:dyDescent="0.3">
      <c r="CT435" s="50"/>
    </row>
    <row r="436" spans="98:98" x14ac:dyDescent="0.3">
      <c r="CT436" s="50"/>
    </row>
    <row r="437" spans="98:98" x14ac:dyDescent="0.3">
      <c r="CT437" s="50"/>
    </row>
    <row r="438" spans="98:98" x14ac:dyDescent="0.3">
      <c r="CT438" s="50"/>
    </row>
    <row r="439" spans="98:98" x14ac:dyDescent="0.3">
      <c r="CT439" s="50"/>
    </row>
    <row r="440" spans="98:98" x14ac:dyDescent="0.3">
      <c r="CT440" s="50"/>
    </row>
    <row r="441" spans="98:98" x14ac:dyDescent="0.3">
      <c r="CT441" s="50"/>
    </row>
    <row r="442" spans="98:98" x14ac:dyDescent="0.3">
      <c r="CT442" s="50"/>
    </row>
    <row r="443" spans="98:98" x14ac:dyDescent="0.3">
      <c r="CT443" s="50"/>
    </row>
    <row r="444" spans="98:98" x14ac:dyDescent="0.3">
      <c r="CT444" s="50"/>
    </row>
    <row r="445" spans="98:98" x14ac:dyDescent="0.3">
      <c r="CT445" s="50"/>
    </row>
    <row r="446" spans="98:98" x14ac:dyDescent="0.3">
      <c r="CT446" s="50"/>
    </row>
    <row r="447" spans="98:98" x14ac:dyDescent="0.3">
      <c r="CT447" s="50"/>
    </row>
    <row r="448" spans="98:98" x14ac:dyDescent="0.3">
      <c r="CT448" s="50"/>
    </row>
    <row r="449" spans="98:98" x14ac:dyDescent="0.3">
      <c r="CT449" s="50"/>
    </row>
    <row r="450" spans="98:98" x14ac:dyDescent="0.3">
      <c r="CT450" s="50"/>
    </row>
    <row r="451" spans="98:98" x14ac:dyDescent="0.3">
      <c r="CT451" s="50"/>
    </row>
    <row r="452" spans="98:98" x14ac:dyDescent="0.3">
      <c r="CT452" s="50"/>
    </row>
    <row r="453" spans="98:98" x14ac:dyDescent="0.3">
      <c r="CT453" s="50"/>
    </row>
    <row r="454" spans="98:98" x14ac:dyDescent="0.3">
      <c r="CT454" s="50"/>
    </row>
    <row r="455" spans="98:98" x14ac:dyDescent="0.3">
      <c r="CT455" s="50"/>
    </row>
    <row r="456" spans="98:98" x14ac:dyDescent="0.3">
      <c r="CT456" s="50"/>
    </row>
    <row r="457" spans="98:98" x14ac:dyDescent="0.3">
      <c r="CT457" s="50"/>
    </row>
    <row r="458" spans="98:98" x14ac:dyDescent="0.3">
      <c r="CT458" s="50"/>
    </row>
    <row r="459" spans="98:98" x14ac:dyDescent="0.3">
      <c r="CT459" s="50"/>
    </row>
    <row r="460" spans="98:98" x14ac:dyDescent="0.3">
      <c r="CT460" s="50"/>
    </row>
    <row r="461" spans="98:98" x14ac:dyDescent="0.3">
      <c r="CT461" s="50"/>
    </row>
    <row r="462" spans="98:98" x14ac:dyDescent="0.3">
      <c r="CT462" s="50"/>
    </row>
    <row r="463" spans="98:98" x14ac:dyDescent="0.3">
      <c r="CT463" s="50"/>
    </row>
    <row r="464" spans="98:98" x14ac:dyDescent="0.3">
      <c r="CT464" s="50"/>
    </row>
    <row r="465" spans="98:98" x14ac:dyDescent="0.3">
      <c r="CT465" s="50"/>
    </row>
    <row r="466" spans="98:98" x14ac:dyDescent="0.3">
      <c r="CT466" s="50"/>
    </row>
    <row r="467" spans="98:98" x14ac:dyDescent="0.3">
      <c r="CT467" s="50"/>
    </row>
    <row r="468" spans="98:98" x14ac:dyDescent="0.3">
      <c r="CT468" s="50"/>
    </row>
    <row r="469" spans="98:98" x14ac:dyDescent="0.3">
      <c r="CT469" s="50"/>
    </row>
    <row r="470" spans="98:98" x14ac:dyDescent="0.3">
      <c r="CT470" s="50"/>
    </row>
    <row r="471" spans="98:98" x14ac:dyDescent="0.3">
      <c r="CT471" s="50"/>
    </row>
    <row r="472" spans="98:98" x14ac:dyDescent="0.3">
      <c r="CT472" s="50"/>
    </row>
    <row r="473" spans="98:98" x14ac:dyDescent="0.3">
      <c r="CT473" s="50"/>
    </row>
    <row r="474" spans="98:98" x14ac:dyDescent="0.3">
      <c r="CT474" s="50"/>
    </row>
    <row r="475" spans="98:98" x14ac:dyDescent="0.3">
      <c r="CT475" s="50"/>
    </row>
    <row r="476" spans="98:98" x14ac:dyDescent="0.3">
      <c r="CT476" s="50"/>
    </row>
    <row r="477" spans="98:98" x14ac:dyDescent="0.3">
      <c r="CT477" s="50"/>
    </row>
    <row r="478" spans="98:98" x14ac:dyDescent="0.3">
      <c r="CT478" s="50"/>
    </row>
    <row r="479" spans="98:98" x14ac:dyDescent="0.3">
      <c r="CT479" s="50"/>
    </row>
    <row r="480" spans="98:98" x14ac:dyDescent="0.3">
      <c r="CT480" s="50"/>
    </row>
    <row r="481" spans="98:98" x14ac:dyDescent="0.3">
      <c r="CT481" s="50"/>
    </row>
    <row r="482" spans="98:98" x14ac:dyDescent="0.3">
      <c r="CT482" s="50"/>
    </row>
    <row r="483" spans="98:98" x14ac:dyDescent="0.3">
      <c r="CT483" s="50"/>
    </row>
    <row r="484" spans="98:98" x14ac:dyDescent="0.3">
      <c r="CT484" s="50"/>
    </row>
    <row r="485" spans="98:98" x14ac:dyDescent="0.3">
      <c r="CT485" s="50"/>
    </row>
    <row r="486" spans="98:98" x14ac:dyDescent="0.3">
      <c r="CT486" s="50"/>
    </row>
    <row r="487" spans="98:98" x14ac:dyDescent="0.3">
      <c r="CT487" s="50"/>
    </row>
    <row r="488" spans="98:98" x14ac:dyDescent="0.3">
      <c r="CT488" s="50"/>
    </row>
    <row r="489" spans="98:98" x14ac:dyDescent="0.3">
      <c r="CT489" s="50"/>
    </row>
    <row r="490" spans="98:98" x14ac:dyDescent="0.3">
      <c r="CT490" s="50"/>
    </row>
    <row r="491" spans="98:98" x14ac:dyDescent="0.3">
      <c r="CT491" s="50"/>
    </row>
    <row r="492" spans="98:98" x14ac:dyDescent="0.3">
      <c r="CT492" s="50"/>
    </row>
    <row r="493" spans="98:98" x14ac:dyDescent="0.3">
      <c r="CT493" s="50"/>
    </row>
    <row r="494" spans="98:98" x14ac:dyDescent="0.3">
      <c r="CT494" s="50"/>
    </row>
    <row r="495" spans="98:98" x14ac:dyDescent="0.3">
      <c r="CT495" s="50"/>
    </row>
    <row r="496" spans="98:98" x14ac:dyDescent="0.3">
      <c r="CT496" s="50"/>
    </row>
    <row r="497" spans="98:98" x14ac:dyDescent="0.3">
      <c r="CT497" s="50"/>
    </row>
    <row r="498" spans="98:98" x14ac:dyDescent="0.3">
      <c r="CT498" s="50"/>
    </row>
    <row r="499" spans="98:98" x14ac:dyDescent="0.3">
      <c r="CT499" s="50"/>
    </row>
    <row r="500" spans="98:98" x14ac:dyDescent="0.3">
      <c r="CT500" s="50"/>
    </row>
    <row r="501" spans="98:98" x14ac:dyDescent="0.3">
      <c r="CT501" s="50"/>
    </row>
    <row r="502" spans="98:98" x14ac:dyDescent="0.3">
      <c r="CT502" s="50"/>
    </row>
    <row r="503" spans="98:98" x14ac:dyDescent="0.3">
      <c r="CT503" s="50"/>
    </row>
    <row r="504" spans="98:98" x14ac:dyDescent="0.3">
      <c r="CT504" s="50"/>
    </row>
    <row r="505" spans="98:98" x14ac:dyDescent="0.3">
      <c r="CT505" s="50"/>
    </row>
    <row r="506" spans="98:98" x14ac:dyDescent="0.3">
      <c r="CT506" s="50"/>
    </row>
    <row r="507" spans="98:98" x14ac:dyDescent="0.3">
      <c r="CT507" s="50"/>
    </row>
    <row r="508" spans="98:98" x14ac:dyDescent="0.3">
      <c r="CT508" s="50"/>
    </row>
    <row r="509" spans="98:98" x14ac:dyDescent="0.3">
      <c r="CT509" s="50"/>
    </row>
    <row r="510" spans="98:98" x14ac:dyDescent="0.3">
      <c r="CT510" s="50"/>
    </row>
    <row r="511" spans="98:98" x14ac:dyDescent="0.3">
      <c r="CT511" s="50"/>
    </row>
    <row r="512" spans="98:98" x14ac:dyDescent="0.3">
      <c r="CT512" s="50"/>
    </row>
    <row r="513" spans="98:98" x14ac:dyDescent="0.3">
      <c r="CT513" s="50"/>
    </row>
    <row r="514" spans="98:98" x14ac:dyDescent="0.3">
      <c r="CT514" s="50"/>
    </row>
    <row r="515" spans="98:98" x14ac:dyDescent="0.3">
      <c r="CT515" s="50"/>
    </row>
    <row r="516" spans="98:98" x14ac:dyDescent="0.3">
      <c r="CT516" s="50"/>
    </row>
    <row r="517" spans="98:98" x14ac:dyDescent="0.3">
      <c r="CT517" s="50"/>
    </row>
    <row r="518" spans="98:98" x14ac:dyDescent="0.3">
      <c r="CT518" s="50"/>
    </row>
    <row r="519" spans="98:98" x14ac:dyDescent="0.3">
      <c r="CT519" s="50"/>
    </row>
    <row r="520" spans="98:98" x14ac:dyDescent="0.3">
      <c r="CT520" s="50"/>
    </row>
    <row r="521" spans="98:98" x14ac:dyDescent="0.3">
      <c r="CT521" s="50"/>
    </row>
    <row r="522" spans="98:98" x14ac:dyDescent="0.3">
      <c r="CT522" s="50"/>
    </row>
    <row r="523" spans="98:98" x14ac:dyDescent="0.3">
      <c r="CT523" s="50"/>
    </row>
    <row r="524" spans="98:98" x14ac:dyDescent="0.3">
      <c r="CT524" s="50"/>
    </row>
    <row r="525" spans="98:98" x14ac:dyDescent="0.3">
      <c r="CT525" s="50"/>
    </row>
    <row r="526" spans="98:98" x14ac:dyDescent="0.3">
      <c r="CT526" s="50"/>
    </row>
    <row r="527" spans="98:98" x14ac:dyDescent="0.3">
      <c r="CT527" s="50"/>
    </row>
    <row r="528" spans="98:98" x14ac:dyDescent="0.3">
      <c r="CT528" s="50"/>
    </row>
    <row r="529" spans="98:98" x14ac:dyDescent="0.3">
      <c r="CT529" s="50"/>
    </row>
    <row r="530" spans="98:98" x14ac:dyDescent="0.3">
      <c r="CT530" s="50"/>
    </row>
    <row r="531" spans="98:98" x14ac:dyDescent="0.3">
      <c r="CT531" s="50"/>
    </row>
    <row r="532" spans="98:98" x14ac:dyDescent="0.3">
      <c r="CT532" s="50"/>
    </row>
    <row r="533" spans="98:98" x14ac:dyDescent="0.3">
      <c r="CT533" s="50"/>
    </row>
    <row r="534" spans="98:98" x14ac:dyDescent="0.3">
      <c r="CT534" s="50"/>
    </row>
    <row r="535" spans="98:98" x14ac:dyDescent="0.3">
      <c r="CT535" s="50"/>
    </row>
    <row r="536" spans="98:98" x14ac:dyDescent="0.3">
      <c r="CT536" s="50"/>
    </row>
    <row r="537" spans="98:98" x14ac:dyDescent="0.3">
      <c r="CT537" s="50"/>
    </row>
    <row r="538" spans="98:98" x14ac:dyDescent="0.3">
      <c r="CT538" s="50"/>
    </row>
    <row r="539" spans="98:98" x14ac:dyDescent="0.3">
      <c r="CT539" s="50"/>
    </row>
    <row r="540" spans="98:98" x14ac:dyDescent="0.3">
      <c r="CT540" s="50"/>
    </row>
    <row r="541" spans="98:98" x14ac:dyDescent="0.3">
      <c r="CT541" s="50"/>
    </row>
    <row r="542" spans="98:98" x14ac:dyDescent="0.3">
      <c r="CT542" s="50"/>
    </row>
    <row r="543" spans="98:98" x14ac:dyDescent="0.3">
      <c r="CT543" s="50"/>
    </row>
    <row r="544" spans="98:98" x14ac:dyDescent="0.3">
      <c r="CT544" s="50"/>
    </row>
    <row r="545" spans="98:98" x14ac:dyDescent="0.3">
      <c r="CT545" s="50"/>
    </row>
    <row r="546" spans="98:98" x14ac:dyDescent="0.3">
      <c r="CT546" s="50"/>
    </row>
    <row r="547" spans="98:98" x14ac:dyDescent="0.3">
      <c r="CT547" s="50"/>
    </row>
    <row r="548" spans="98:98" x14ac:dyDescent="0.3">
      <c r="CT548" s="50"/>
    </row>
    <row r="549" spans="98:98" x14ac:dyDescent="0.3">
      <c r="CT549" s="50"/>
    </row>
    <row r="550" spans="98:98" x14ac:dyDescent="0.3">
      <c r="CT550" s="50"/>
    </row>
    <row r="551" spans="98:98" x14ac:dyDescent="0.3">
      <c r="CT551" s="50"/>
    </row>
    <row r="552" spans="98:98" x14ac:dyDescent="0.3">
      <c r="CT552" s="50"/>
    </row>
    <row r="553" spans="98:98" x14ac:dyDescent="0.3">
      <c r="CT553" s="50"/>
    </row>
    <row r="554" spans="98:98" x14ac:dyDescent="0.3">
      <c r="CT554" s="50"/>
    </row>
    <row r="555" spans="98:98" x14ac:dyDescent="0.3">
      <c r="CT555" s="50"/>
    </row>
    <row r="556" spans="98:98" x14ac:dyDescent="0.3">
      <c r="CT556" s="50"/>
    </row>
    <row r="557" spans="98:98" x14ac:dyDescent="0.3">
      <c r="CT557" s="50"/>
    </row>
    <row r="558" spans="98:98" x14ac:dyDescent="0.3">
      <c r="CT558" s="50"/>
    </row>
    <row r="559" spans="98:98" x14ac:dyDescent="0.3">
      <c r="CT559" s="50"/>
    </row>
    <row r="560" spans="98:98" x14ac:dyDescent="0.3">
      <c r="CT560" s="50"/>
    </row>
    <row r="561" spans="98:98" x14ac:dyDescent="0.3">
      <c r="CT561" s="50"/>
    </row>
    <row r="562" spans="98:98" x14ac:dyDescent="0.3">
      <c r="CT562" s="50"/>
    </row>
    <row r="563" spans="98:98" x14ac:dyDescent="0.3">
      <c r="CT563" s="50"/>
    </row>
    <row r="564" spans="98:98" x14ac:dyDescent="0.3">
      <c r="CT564" s="50"/>
    </row>
    <row r="565" spans="98:98" x14ac:dyDescent="0.3">
      <c r="CT565" s="50"/>
    </row>
    <row r="566" spans="98:98" x14ac:dyDescent="0.3">
      <c r="CT566" s="50"/>
    </row>
    <row r="567" spans="98:98" x14ac:dyDescent="0.3">
      <c r="CT567" s="50"/>
    </row>
    <row r="568" spans="98:98" x14ac:dyDescent="0.3">
      <c r="CT568" s="50"/>
    </row>
    <row r="569" spans="98:98" x14ac:dyDescent="0.3">
      <c r="CT569" s="50"/>
    </row>
    <row r="570" spans="98:98" x14ac:dyDescent="0.3">
      <c r="CT570" s="50"/>
    </row>
    <row r="571" spans="98:98" x14ac:dyDescent="0.3">
      <c r="CT571" s="50"/>
    </row>
    <row r="572" spans="98:98" x14ac:dyDescent="0.3">
      <c r="CT572" s="50"/>
    </row>
    <row r="573" spans="98:98" x14ac:dyDescent="0.3">
      <c r="CT573" s="50"/>
    </row>
    <row r="574" spans="98:98" x14ac:dyDescent="0.3">
      <c r="CT574" s="50"/>
    </row>
    <row r="575" spans="98:98" x14ac:dyDescent="0.3">
      <c r="CT575" s="50"/>
    </row>
    <row r="576" spans="98:98" x14ac:dyDescent="0.3">
      <c r="CT576" s="50"/>
    </row>
    <row r="577" spans="98:98" x14ac:dyDescent="0.3">
      <c r="CT577" s="50"/>
    </row>
    <row r="578" spans="98:98" x14ac:dyDescent="0.3">
      <c r="CT578" s="50"/>
    </row>
    <row r="579" spans="98:98" x14ac:dyDescent="0.3">
      <c r="CT579" s="50"/>
    </row>
    <row r="580" spans="98:98" x14ac:dyDescent="0.3">
      <c r="CT580" s="50"/>
    </row>
    <row r="581" spans="98:98" x14ac:dyDescent="0.3">
      <c r="CT581" s="50"/>
    </row>
    <row r="582" spans="98:98" x14ac:dyDescent="0.3">
      <c r="CT582" s="50"/>
    </row>
    <row r="583" spans="98:98" x14ac:dyDescent="0.3">
      <c r="CT583" s="50"/>
    </row>
    <row r="584" spans="98:98" x14ac:dyDescent="0.3">
      <c r="CT584" s="50"/>
    </row>
    <row r="585" spans="98:98" x14ac:dyDescent="0.3">
      <c r="CT585" s="50"/>
    </row>
    <row r="586" spans="98:98" x14ac:dyDescent="0.3">
      <c r="CT586" s="50"/>
    </row>
    <row r="587" spans="98:98" x14ac:dyDescent="0.3">
      <c r="CT587" s="50"/>
    </row>
    <row r="588" spans="98:98" x14ac:dyDescent="0.3">
      <c r="CT588" s="50"/>
    </row>
    <row r="589" spans="98:98" x14ac:dyDescent="0.3">
      <c r="CT589" s="50"/>
    </row>
    <row r="590" spans="98:98" x14ac:dyDescent="0.3">
      <c r="CT590" s="50"/>
    </row>
    <row r="591" spans="98:98" x14ac:dyDescent="0.3">
      <c r="CT591" s="50"/>
    </row>
    <row r="592" spans="98:98" x14ac:dyDescent="0.3">
      <c r="CT592" s="50"/>
    </row>
    <row r="593" spans="98:98" x14ac:dyDescent="0.3">
      <c r="CT593" s="50"/>
    </row>
    <row r="594" spans="98:98" x14ac:dyDescent="0.3">
      <c r="CT594" s="50"/>
    </row>
    <row r="595" spans="98:98" x14ac:dyDescent="0.3">
      <c r="CT595" s="50"/>
    </row>
    <row r="596" spans="98:98" x14ac:dyDescent="0.3">
      <c r="CT596" s="50"/>
    </row>
    <row r="597" spans="98:98" x14ac:dyDescent="0.3">
      <c r="CT597" s="50"/>
    </row>
    <row r="598" spans="98:98" x14ac:dyDescent="0.3">
      <c r="CT598" s="50"/>
    </row>
    <row r="599" spans="98:98" x14ac:dyDescent="0.3">
      <c r="CT599" s="50"/>
    </row>
    <row r="600" spans="98:98" x14ac:dyDescent="0.3">
      <c r="CT600" s="50"/>
    </row>
    <row r="601" spans="98:98" x14ac:dyDescent="0.3">
      <c r="CT601" s="50"/>
    </row>
    <row r="602" spans="98:98" x14ac:dyDescent="0.3">
      <c r="CT602" s="50"/>
    </row>
  </sheetData>
  <mergeCells count="103">
    <mergeCell ref="A2:O2"/>
    <mergeCell ref="A3:O3"/>
    <mergeCell ref="A4:O4"/>
    <mergeCell ref="AF8:AF9"/>
    <mergeCell ref="AG8:AG9"/>
    <mergeCell ref="B8:B10"/>
    <mergeCell ref="C8:C10"/>
    <mergeCell ref="D8:D10"/>
    <mergeCell ref="O8:O9"/>
    <mergeCell ref="J8:J9"/>
    <mergeCell ref="K8:K9"/>
    <mergeCell ref="L8:L9"/>
    <mergeCell ref="M8:M9"/>
    <mergeCell ref="N8:N9"/>
    <mergeCell ref="F8:F9"/>
    <mergeCell ref="G8:G9"/>
    <mergeCell ref="H8:H9"/>
    <mergeCell ref="AA8:AA9"/>
    <mergeCell ref="AB8:AB9"/>
    <mergeCell ref="AC8:AC9"/>
    <mergeCell ref="AD8:AD9"/>
    <mergeCell ref="AE8:AE9"/>
    <mergeCell ref="E8:E9"/>
    <mergeCell ref="T8:T9"/>
    <mergeCell ref="U8:U9"/>
    <mergeCell ref="BV8:BV9"/>
    <mergeCell ref="BU8:BU9"/>
    <mergeCell ref="BT8:BT9"/>
    <mergeCell ref="CH8:CH9"/>
    <mergeCell ref="V8:V9"/>
    <mergeCell ref="W8:W9"/>
    <mergeCell ref="AQ8:AQ9"/>
    <mergeCell ref="I8:I9"/>
    <mergeCell ref="AK8:AK9"/>
    <mergeCell ref="AL8:AL9"/>
    <mergeCell ref="P8:P9"/>
    <mergeCell ref="Q8:Q9"/>
    <mergeCell ref="R8:R9"/>
    <mergeCell ref="S8:S9"/>
    <mergeCell ref="AM8:AM9"/>
    <mergeCell ref="AI8:AI9"/>
    <mergeCell ref="AH8:AH9"/>
    <mergeCell ref="AJ8:AJ9"/>
    <mergeCell ref="AP8:AP9"/>
    <mergeCell ref="X8:X9"/>
    <mergeCell ref="Y8:Y9"/>
    <mergeCell ref="Z8:Z9"/>
    <mergeCell ref="BR8:BR9"/>
    <mergeCell ref="BS8:BS9"/>
    <mergeCell ref="CV8:CV9"/>
    <mergeCell ref="CB8:CB9"/>
    <mergeCell ref="CC8:CC9"/>
    <mergeCell ref="CD8:CD9"/>
    <mergeCell ref="CE8:CE9"/>
    <mergeCell ref="CL8:CL9"/>
    <mergeCell ref="CJ8:CJ9"/>
    <mergeCell ref="CG8:CG9"/>
    <mergeCell ref="CU8:CU9"/>
    <mergeCell ref="CP8:CP9"/>
    <mergeCell ref="CQ8:CQ9"/>
    <mergeCell ref="CR8:CR9"/>
    <mergeCell ref="BI8:BI9"/>
    <mergeCell ref="BM8:BM9"/>
    <mergeCell ref="BK8:BK9"/>
    <mergeCell ref="BJ8:BJ9"/>
    <mergeCell ref="BQ8:BQ9"/>
    <mergeCell ref="BD8:BD9"/>
    <mergeCell ref="BE8:BE9"/>
    <mergeCell ref="BF8:BF9"/>
    <mergeCell ref="BL8:BL9"/>
    <mergeCell ref="AV8:AV9"/>
    <mergeCell ref="AX8:AX9"/>
    <mergeCell ref="AW8:AW9"/>
    <mergeCell ref="BB8:BB9"/>
    <mergeCell ref="AZ8:AZ9"/>
    <mergeCell ref="BA8:BA9"/>
    <mergeCell ref="AY8:AY9"/>
    <mergeCell ref="BG8:BG9"/>
    <mergeCell ref="BH8:BH9"/>
    <mergeCell ref="AR8:AR9"/>
    <mergeCell ref="A9:A10"/>
    <mergeCell ref="CO8:CO9"/>
    <mergeCell ref="CS8:CS9"/>
    <mergeCell ref="CT8:CT9"/>
    <mergeCell ref="CM8:CM9"/>
    <mergeCell ref="CN8:CN9"/>
    <mergeCell ref="CF8:CF9"/>
    <mergeCell ref="CI8:CI9"/>
    <mergeCell ref="CK8:CK9"/>
    <mergeCell ref="CA8:CA9"/>
    <mergeCell ref="BW8:BW9"/>
    <mergeCell ref="BX8:BX9"/>
    <mergeCell ref="BY8:BY9"/>
    <mergeCell ref="BZ8:BZ9"/>
    <mergeCell ref="AN8:AN9"/>
    <mergeCell ref="AO8:AO9"/>
    <mergeCell ref="BN8:BN9"/>
    <mergeCell ref="BO8:BO9"/>
    <mergeCell ref="BP8:BP9"/>
    <mergeCell ref="BC8:BC9"/>
    <mergeCell ref="AS8:AS9"/>
    <mergeCell ref="AT8:AT9"/>
    <mergeCell ref="AU8:AU9"/>
  </mergeCells>
  <pageMargins left="0.39370078740157483" right="0.39370078740157483" top="0.39370078740157483" bottom="0.39370078740157483" header="0.19685039370078741" footer="0.19685039370078741"/>
  <pageSetup paperSize="9" scale="78" firstPageNumber="21" fitToWidth="0" fitToHeight="11" orientation="landscape" useFirstPageNumber="1" r:id="rId1"/>
  <headerFooter>
    <oddHeader>&amp;C&amp;P</oddHeader>
  </headerFooter>
  <rowBreaks count="3" manualBreakCount="3">
    <brk id="57" max="100" man="1"/>
    <brk id="196" max="100" man="1"/>
    <brk id="276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(1588)</vt:lpstr>
      <vt:lpstr>'Приложение № 2 (1588)'!Заголовки_для_печати</vt:lpstr>
      <vt:lpstr>'Приложение № 2 (1588)'!Область_печати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2025-05-08T07:09:24Z</dcterms:modified>
</cp:coreProperties>
</file>